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/>
  <mc:AlternateContent xmlns:mc="http://schemas.openxmlformats.org/markup-compatibility/2006">
    <mc:Choice Requires="x15">
      <x15ac:absPath xmlns:x15ac="http://schemas.microsoft.com/office/spreadsheetml/2010/11/ac" url="C:\Users\michael laptop\Downloads\"/>
    </mc:Choice>
  </mc:AlternateContent>
  <xr:revisionPtr revIDLastSave="0" documentId="8_{720FECB3-2B79-4858-9203-90099B30E8D6}" xr6:coauthVersionLast="47" xr6:coauthVersionMax="47" xr10:uidLastSave="{00000000-0000-0000-0000-000000000000}"/>
  <bookViews>
    <workbookView xWindow="-98" yWindow="-98" windowWidth="19396" windowHeight="10395" xr2:uid="{00000000-000D-0000-FFFF-FFFF00000000}"/>
  </bookViews>
  <sheets>
    <sheet name="Calculator" sheetId="1" r:id="rId1"/>
    <sheet name="Rates" sheetId="2" state="hidden" r:id="rId2"/>
    <sheet name="Lookups" sheetId="3" state="hidden" r:id="rId3"/>
    <sheet name="Parms" sheetId="4" state="hidden" r:id="rId4"/>
    <sheet name="USEU" sheetId="6" state="hidden" r:id="rId5"/>
  </sheets>
  <definedNames>
    <definedName name="Burst_Multiplier">Parms!$C$5</definedName>
    <definedName name="Days_in_a_month">Parms!$C$2</definedName>
    <definedName name="Hours_in_a_day">Parms!$C$3</definedName>
    <definedName name="Months_in_Annual_Package">Parms!$C$4</definedName>
    <definedName name="PaymentType">Lookups!$A$2:$A$4</definedName>
    <definedName name="Pricing_Type">Lookups!#REF!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2" l="1"/>
  <c r="B2" i="2"/>
  <c r="H54" i="1" l="1"/>
  <c r="H53" i="1"/>
  <c r="H52" i="1"/>
  <c r="H51" i="1"/>
  <c r="I20" i="2"/>
  <c r="H20" i="2"/>
  <c r="G20" i="2"/>
  <c r="F20" i="2"/>
  <c r="E20" i="2"/>
  <c r="D20" i="2"/>
  <c r="I19" i="2"/>
  <c r="H19" i="2"/>
  <c r="G19" i="2"/>
  <c r="F19" i="2"/>
  <c r="E19" i="2"/>
  <c r="D19" i="2"/>
  <c r="F5" i="2"/>
  <c r="I5" i="2" s="1"/>
  <c r="E5" i="2"/>
  <c r="H5" i="2" s="1"/>
  <c r="D5" i="2"/>
  <c r="G5" i="2" s="1"/>
  <c r="D15" i="2" l="1"/>
  <c r="D16" i="2"/>
  <c r="D17" i="2"/>
  <c r="D18" i="2"/>
  <c r="F2" i="6" l="1"/>
  <c r="I18" i="2" l="1"/>
  <c r="I17" i="2"/>
  <c r="I16" i="2"/>
  <c r="H18" i="2"/>
  <c r="H17" i="2"/>
  <c r="H16" i="2"/>
  <c r="G18" i="2"/>
  <c r="G17" i="2"/>
  <c r="G16" i="2"/>
  <c r="F18" i="2"/>
  <c r="F17" i="2"/>
  <c r="F16" i="2"/>
  <c r="E18" i="2"/>
  <c r="E17" i="2"/>
  <c r="E16" i="2"/>
  <c r="C30" i="6" l="1"/>
  <c r="C29" i="6"/>
  <c r="C28" i="6"/>
  <c r="C27" i="6"/>
  <c r="C26" i="6"/>
  <c r="C25" i="6"/>
  <c r="C24" i="6"/>
  <c r="C23" i="6"/>
  <c r="C22" i="6"/>
  <c r="C21" i="6"/>
  <c r="C20" i="6"/>
  <c r="C19" i="6"/>
  <c r="F5" i="6"/>
  <c r="F6" i="6"/>
  <c r="F3" i="6"/>
  <c r="E2" i="6"/>
  <c r="E3" i="6"/>
  <c r="E6" i="6"/>
  <c r="E5" i="6"/>
  <c r="E4" i="6"/>
  <c r="H49" i="1" l="1"/>
  <c r="F2" i="2" l="1"/>
  <c r="I2" i="2" s="1"/>
  <c r="F8" i="2"/>
  <c r="I8" i="2" s="1"/>
  <c r="AH44" i="1" s="1"/>
  <c r="E8" i="2"/>
  <c r="H8" i="2" s="1"/>
  <c r="AD44" i="1" s="1"/>
  <c r="D8" i="2"/>
  <c r="G8" i="2" s="1"/>
  <c r="Z44" i="1" s="1"/>
  <c r="H44" i="1"/>
  <c r="F11" i="2"/>
  <c r="F12" i="2"/>
  <c r="F13" i="2"/>
  <c r="F14" i="2"/>
  <c r="F15" i="2"/>
  <c r="F10" i="2"/>
  <c r="E11" i="2"/>
  <c r="E12" i="2"/>
  <c r="E13" i="2"/>
  <c r="E14" i="2"/>
  <c r="E15" i="2"/>
  <c r="E10" i="2"/>
  <c r="D11" i="2"/>
  <c r="D12" i="2"/>
  <c r="D13" i="2"/>
  <c r="D14" i="2"/>
  <c r="D10" i="2"/>
  <c r="F6" i="2"/>
  <c r="I6" i="2" s="1"/>
  <c r="F4" i="2"/>
  <c r="I4" i="2" s="1"/>
  <c r="F3" i="2"/>
  <c r="I3" i="2" s="1"/>
  <c r="E6" i="2"/>
  <c r="S15" i="1" s="1"/>
  <c r="E4" i="2"/>
  <c r="P15" i="1" s="1"/>
  <c r="E3" i="2"/>
  <c r="D6" i="2"/>
  <c r="G6" i="2" s="1"/>
  <c r="D4" i="2"/>
  <c r="G4" i="2" s="1"/>
  <c r="I11" i="2"/>
  <c r="AH52" i="1" s="1"/>
  <c r="I12" i="2"/>
  <c r="AH53" i="1" s="1"/>
  <c r="I13" i="2"/>
  <c r="AH54" i="1" s="1"/>
  <c r="I14" i="2"/>
  <c r="I15" i="2"/>
  <c r="I10" i="2"/>
  <c r="AH51" i="1" s="1"/>
  <c r="H11" i="2"/>
  <c r="AD52" i="1" s="1"/>
  <c r="H12" i="2"/>
  <c r="AD53" i="1" s="1"/>
  <c r="H13" i="2"/>
  <c r="AD54" i="1" s="1"/>
  <c r="H14" i="2"/>
  <c r="H15" i="2"/>
  <c r="H10" i="2"/>
  <c r="G11" i="2"/>
  <c r="Z52" i="1" s="1"/>
  <c r="G12" i="2"/>
  <c r="Z53" i="1" s="1"/>
  <c r="G13" i="2"/>
  <c r="Z54" i="1" s="1"/>
  <c r="G14" i="2"/>
  <c r="G15" i="2"/>
  <c r="G10" i="2"/>
  <c r="D3" i="2"/>
  <c r="G3" i="2" s="1"/>
  <c r="D2" i="2"/>
  <c r="G2" i="2" s="1"/>
  <c r="AD2" i="1"/>
  <c r="F9" i="2"/>
  <c r="I9" i="2" s="1"/>
  <c r="AH45" i="1" s="1"/>
  <c r="D3" i="3"/>
  <c r="F7" i="2"/>
  <c r="I7" i="2" s="1"/>
  <c r="E7" i="2"/>
  <c r="V15" i="1" s="1"/>
  <c r="D7" i="2"/>
  <c r="G7" i="2" s="1"/>
  <c r="K4" i="1"/>
  <c r="Z33" i="1" l="1"/>
  <c r="AH19" i="1"/>
  <c r="P29" i="1"/>
  <c r="P27" i="1"/>
  <c r="P17" i="1"/>
  <c r="P21" i="1"/>
  <c r="P19" i="1"/>
  <c r="P31" i="1"/>
  <c r="P33" i="1"/>
  <c r="P35" i="1"/>
  <c r="P25" i="1"/>
  <c r="P37" i="1"/>
  <c r="P23" i="1"/>
  <c r="Z21" i="1"/>
  <c r="Z15" i="1"/>
  <c r="Z35" i="1"/>
  <c r="Z31" i="1"/>
  <c r="Z23" i="1"/>
  <c r="Z29" i="1"/>
  <c r="Z27" i="1"/>
  <c r="Z25" i="1"/>
  <c r="Z19" i="1"/>
  <c r="Z17" i="1"/>
  <c r="Z37" i="1"/>
  <c r="AH27" i="1"/>
  <c r="AH25" i="1"/>
  <c r="AH31" i="1"/>
  <c r="AH17" i="1"/>
  <c r="AH37" i="1"/>
  <c r="AH29" i="1"/>
  <c r="AH15" i="1"/>
  <c r="AH35" i="1"/>
  <c r="AH33" i="1"/>
  <c r="AH23" i="1"/>
  <c r="AH21" i="1"/>
  <c r="E2" i="2"/>
  <c r="H15" i="1" s="1"/>
  <c r="Z51" i="1"/>
  <c r="Z58" i="1" s="1"/>
  <c r="AD51" i="1"/>
  <c r="AD58" i="1" s="1"/>
  <c r="AH47" i="1"/>
  <c r="AH58" i="1"/>
  <c r="O44" i="1"/>
  <c r="H6" i="2"/>
  <c r="S37" i="1"/>
  <c r="S33" i="1"/>
  <c r="S29" i="1"/>
  <c r="S25" i="1"/>
  <c r="S21" i="1"/>
  <c r="S17" i="1"/>
  <c r="S35" i="1"/>
  <c r="S31" i="1"/>
  <c r="S27" i="1"/>
  <c r="S23" i="1"/>
  <c r="S19" i="1"/>
  <c r="P12" i="1"/>
  <c r="K12" i="1"/>
  <c r="V12" i="1"/>
  <c r="S12" i="1"/>
  <c r="H12" i="1"/>
  <c r="K25" i="1"/>
  <c r="K29" i="1"/>
  <c r="K17" i="1"/>
  <c r="K37" i="1"/>
  <c r="K15" i="1"/>
  <c r="K19" i="1"/>
  <c r="K35" i="1"/>
  <c r="K31" i="1"/>
  <c r="K27" i="1"/>
  <c r="K23" i="1"/>
  <c r="K33" i="1"/>
  <c r="K21" i="1"/>
  <c r="V37" i="1"/>
  <c r="V33" i="1"/>
  <c r="V29" i="1"/>
  <c r="V25" i="1"/>
  <c r="V21" i="1"/>
  <c r="V17" i="1"/>
  <c r="V19" i="1"/>
  <c r="V23" i="1"/>
  <c r="V35" i="1"/>
  <c r="V31" i="1"/>
  <c r="V27" i="1"/>
  <c r="H4" i="2"/>
  <c r="H7" i="2"/>
  <c r="H3" i="2"/>
  <c r="D9" i="2"/>
  <c r="G9" i="2" s="1"/>
  <c r="Z45" i="1" s="1"/>
  <c r="Z47" i="1" s="1"/>
  <c r="E9" i="2"/>
  <c r="H35" i="1" l="1"/>
  <c r="H37" i="1"/>
  <c r="H2" i="2"/>
  <c r="H19" i="1"/>
  <c r="H31" i="1"/>
  <c r="H17" i="1"/>
  <c r="H21" i="1"/>
  <c r="H25" i="1"/>
  <c r="H23" i="1"/>
  <c r="H29" i="1"/>
  <c r="H27" i="1"/>
  <c r="H33" i="1"/>
  <c r="AH39" i="1"/>
  <c r="AH7" i="1" s="1"/>
  <c r="Z39" i="1"/>
  <c r="Z7" i="1" s="1"/>
  <c r="O45" i="1"/>
  <c r="H9" i="2"/>
  <c r="AD45" i="1" s="1"/>
  <c r="AD47" i="1" s="1"/>
  <c r="AD15" i="1" l="1"/>
  <c r="AD31" i="1"/>
  <c r="AD29" i="1"/>
  <c r="AD35" i="1"/>
  <c r="AD33" i="1"/>
  <c r="AD21" i="1"/>
  <c r="AD37" i="1"/>
  <c r="AD19" i="1"/>
  <c r="AD23" i="1"/>
  <c r="AD27" i="1"/>
  <c r="AD17" i="1"/>
  <c r="AD25" i="1"/>
  <c r="AD39" i="1" l="1"/>
  <c r="AD7" i="1" s="1"/>
</calcChain>
</file>

<file path=xl/sharedStrings.xml><?xml version="1.0" encoding="utf-8"?>
<sst xmlns="http://schemas.openxmlformats.org/spreadsheetml/2006/main" count="165" uniqueCount="112">
  <si>
    <t>Memory</t>
  </si>
  <si>
    <t>CPU</t>
  </si>
  <si>
    <t>Disk</t>
  </si>
  <si>
    <t>Connectivity</t>
  </si>
  <si>
    <t>Microsoft SQL Server 2008 Standard</t>
  </si>
  <si>
    <t>Windows Web Server 2008 (orig. or R2)</t>
  </si>
  <si>
    <t>Windows Server 2008 Standard (orig. or R2)</t>
  </si>
  <si>
    <t>Windows Server 2008 Enterprise (orig. or R2)</t>
  </si>
  <si>
    <t>Windows Remote Desktop Services SAL</t>
  </si>
  <si>
    <t>Microsoft SQL Server 2008 Web</t>
  </si>
  <si>
    <t>Firewall</t>
  </si>
  <si>
    <t>PaymentType</t>
  </si>
  <si>
    <t>Item</t>
  </si>
  <si>
    <t>Super-flexible hosting by the hour with prepaid credit.</t>
  </si>
  <si>
    <t>Discounted monthly commitment - perfect for ongoing hosting.</t>
  </si>
  <si>
    <t>Best value an annual subscription gives you 12 months for the price of 10.</t>
  </si>
  <si>
    <t>Static public IP address</t>
  </si>
  <si>
    <t>Qty</t>
  </si>
  <si>
    <t>Unit</t>
  </si>
  <si>
    <t>GB</t>
  </si>
  <si>
    <t>each</t>
  </si>
  <si>
    <t>per hour</t>
  </si>
  <si>
    <t>Byline</t>
  </si>
  <si>
    <t>per 12 months</t>
  </si>
  <si>
    <t>Days in a month</t>
  </si>
  <si>
    <t>Hours in a day</t>
  </si>
  <si>
    <t>Months in Annual Package</t>
  </si>
  <si>
    <t>RatesColumnNo</t>
  </si>
  <si>
    <t>Data transfer</t>
  </si>
  <si>
    <t xml:space="preserve">Private network VLAN </t>
  </si>
  <si>
    <t>Price</t>
  </si>
  <si>
    <t>On Demand</t>
  </si>
  <si>
    <t>Subscription</t>
  </si>
  <si>
    <t>On Demand per Hr</t>
  </si>
  <si>
    <t>per GB per Month</t>
  </si>
  <si>
    <t>each per Month</t>
  </si>
  <si>
    <t>per MB per hr</t>
  </si>
  <si>
    <t>each per month</t>
  </si>
  <si>
    <t>I want to pay by:</t>
  </si>
  <si>
    <t>Optionally add Microsoft Licenses:</t>
  </si>
  <si>
    <t>Resources</t>
  </si>
  <si>
    <t>GB per month</t>
  </si>
  <si>
    <t>Burst Multiplier</t>
  </si>
  <si>
    <t>On Demand  per month</t>
  </si>
  <si>
    <t>Long sub per month</t>
  </si>
  <si>
    <t>per month</t>
  </si>
  <si>
    <t>Rate</t>
  </si>
  <si>
    <t>Subscription per day</t>
  </si>
  <si>
    <t>Long sub per year</t>
  </si>
  <si>
    <t>Subscription per month</t>
  </si>
  <si>
    <t>Unit for Licences</t>
  </si>
  <si>
    <t>per month or part therof</t>
  </si>
  <si>
    <t>Annual subscription</t>
  </si>
  <si>
    <t>Unit for Data</t>
  </si>
  <si>
    <t>single core MHz</t>
  </si>
  <si>
    <t>MB</t>
  </si>
  <si>
    <t>per MHz per hr</t>
  </si>
  <si>
    <t>Server 8 Name</t>
  </si>
  <si>
    <t>Server 9 Name</t>
  </si>
  <si>
    <t>Server 10 Name</t>
  </si>
  <si>
    <t>Server 1 Name</t>
  </si>
  <si>
    <t>Server 2 Name</t>
  </si>
  <si>
    <t>Server 3 Name</t>
  </si>
  <si>
    <t>Server 4 Name</t>
  </si>
  <si>
    <t>Server 5 Name</t>
  </si>
  <si>
    <t>Server 6 Name</t>
  </si>
  <si>
    <t>Server 7 Name</t>
  </si>
  <si>
    <t>Server Next Name</t>
  </si>
  <si>
    <t xml:space="preserve"> </t>
  </si>
  <si>
    <t>Windows Server Standard</t>
  </si>
  <si>
    <t>Windows Remote Desktop Services Client Access Licenses</t>
  </si>
  <si>
    <t>Microsoft SQL Server Enterprise Edition Per Core (2017) or earlier)</t>
  </si>
  <si>
    <t>Microsoft SQL Server Standard Edition Per Core (2017) or earlier)</t>
  </si>
  <si>
    <t>cPanel VPS</t>
  </si>
  <si>
    <t>$</t>
  </si>
  <si>
    <t>£</t>
  </si>
  <si>
    <t>R</t>
  </si>
  <si>
    <t>USD</t>
  </si>
  <si>
    <t>GBP</t>
  </si>
  <si>
    <t>CONVERSION</t>
  </si>
  <si>
    <t>USD/ZAR</t>
  </si>
  <si>
    <t>GBP/ZAR</t>
  </si>
  <si>
    <t>SITE:</t>
  </si>
  <si>
    <t>Windows Web Server 2008 (orig. or R2) (R/license-month)</t>
  </si>
  <si>
    <t>Windows Server 2008 Standard (orig. or R2) (R/license-month)</t>
  </si>
  <si>
    <t>Windows Server 2008 Enterprise (orig. or R2) (R/license-month)</t>
  </si>
  <si>
    <t>Windows Server 2012 Standard (R/license-month)</t>
  </si>
  <si>
    <t>Windows Remote Desktop Services SAL (R/license-month)</t>
  </si>
  <si>
    <t>Microsoft SQL Server 2008 Web (R/license-month)</t>
  </si>
  <si>
    <t>Microsoft SQL Server 2008 Standard (R/license-month)</t>
  </si>
  <si>
    <t>cPanel VPS licence (R/license-month)</t>
  </si>
  <si>
    <t>Windows Server 2016 Standard (R/license-month)</t>
  </si>
  <si>
    <t>Microsoft SQL Server Web Edition Per Core (2017 or earlier) (R/license-month)</t>
  </si>
  <si>
    <t>Microsoft SQL Server Standard Edition Per Core (2017 or earlier) (R/license-month)</t>
  </si>
  <si>
    <t>Microsoft SQL Server Enterprise Edition Per Core (2017 or earlier) (R/license-month)</t>
  </si>
  <si>
    <t>EXCL</t>
  </si>
  <si>
    <t>INCL</t>
  </si>
  <si>
    <t>OLD Sheet</t>
  </si>
  <si>
    <t>NEW Sheet</t>
  </si>
  <si>
    <t>Windows Server 2008 R2 SP1 + SQL 2012</t>
  </si>
  <si>
    <t>Windows Server 2012 R2</t>
  </si>
  <si>
    <t>Windows Server 2012 R2 + SQL 2014</t>
  </si>
  <si>
    <t>Windows Server Standard 2016</t>
  </si>
  <si>
    <t>Windows Remote Desktop Services CAL</t>
  </si>
  <si>
    <t>INC</t>
  </si>
  <si>
    <t>SSD</t>
  </si>
  <si>
    <t>HDD</t>
  </si>
  <si>
    <t>All rates are calculated from Column B</t>
  </si>
  <si>
    <t>Windows Server Standard 2022</t>
  </si>
  <si>
    <t>Windows Server Standard 2019</t>
  </si>
  <si>
    <t>Windows Remote Desktop Services CAL OLD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</si>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</sst>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R&quot;#,##0.00;[Red]\-&quot;R&quot;#,##0.00"/>
    <numFmt numFmtId="164" formatCode="&quot;R&quot;\ #,##0.00;[Red]&quot;R&quot;\ \-#,##0.00"/>
    <numFmt numFmtId="165" formatCode="_-[$$-409]* #,##0.00_ ;_-[$$-409]* \-#,##0.00\ ;_-[$$-409]* &quot;-&quot;??_ ;_-@_ "/>
    <numFmt numFmtId="166" formatCode="_-[$£-809]* #,##0.00_-;\-[$£-809]* #,##0.00_-;_-[$£-809]* &quot;-&quot;??_-;_-@_-"/>
    <numFmt numFmtId="167" formatCode="_-[$R-1C09]* #,##0.00_-;\-[$R-1C09]* #,##0.00_-;_-[$R-1C09]* &quot;-&quot;??_-;_-@_-"/>
    <numFmt numFmtId="168" formatCode="[$$-C09]#,##0.00"/>
    <numFmt numFmtId="169" formatCode="[$$-C09]#,##0.00;[Red]\-[$$-C09]#,##0.00"/>
  </numFmts>
  <fonts count="18" x14ac:knownFonts="1"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i/>
      <sz val="10"/>
      <color theme="1"/>
      <name val="Arial"/>
      <family val="2"/>
      <scheme val="minor"/>
    </font>
    <font>
      <b/>
      <i/>
      <sz val="10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b/>
      <sz val="16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i/>
      <sz val="10"/>
      <color theme="0"/>
      <name val="Arial"/>
      <family val="2"/>
      <scheme val="minor"/>
    </font>
    <font>
      <b/>
      <sz val="10"/>
      <color theme="0"/>
      <name val="Arial"/>
      <family val="2"/>
      <scheme val="minor"/>
    </font>
    <font>
      <b/>
      <i/>
      <sz val="10"/>
      <color theme="0"/>
      <name val="Arial"/>
      <family val="2"/>
      <scheme val="minor"/>
    </font>
    <font>
      <b/>
      <sz val="12"/>
      <color theme="0"/>
      <name val="Arial"/>
      <family val="2"/>
      <scheme val="minor"/>
    </font>
    <font>
      <b/>
      <i/>
      <sz val="11"/>
      <color theme="1"/>
      <name val="Arial"/>
      <family val="2"/>
      <scheme val="minor"/>
    </font>
    <font>
      <sz val="10"/>
      <color theme="0"/>
      <name val="Arial"/>
      <family val="2"/>
    </font>
    <font>
      <b/>
      <sz val="10"/>
      <name val="Arial"/>
      <family val="2"/>
      <scheme val="minor"/>
    </font>
    <font>
      <b/>
      <sz val="11"/>
      <name val="Arial"/>
      <family val="2"/>
      <scheme val="minor"/>
    </font>
    <font>
      <b/>
      <sz val="12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AC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DAAFF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rgb="FF2DAAFF"/>
      </top>
      <bottom style="thin">
        <color rgb="FF2DAAFF"/>
      </bottom>
      <diagonal/>
    </border>
    <border>
      <left/>
      <right/>
      <top style="medium">
        <color theme="0"/>
      </top>
      <bottom/>
      <diagonal/>
    </border>
    <border>
      <left/>
      <right/>
      <top style="thin">
        <color rgb="FF2DAAFF"/>
      </top>
      <bottom style="thin">
        <color rgb="FF2DAAFF"/>
      </bottom>
      <diagonal/>
    </border>
    <border>
      <left style="thin">
        <color theme="0"/>
      </left>
      <right/>
      <top/>
      <bottom style="thin">
        <color rgb="FF2DAAFF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0" fillId="3" borderId="0" xfId="0" applyFill="1"/>
    <xf numFmtId="164" fontId="0" fillId="3" borderId="0" xfId="0" applyNumberFormat="1" applyFill="1"/>
    <xf numFmtId="0" fontId="2" fillId="2" borderId="0" xfId="0" applyFont="1" applyFill="1" applyAlignment="1">
      <alignment horizontal="right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3" xfId="0" applyBorder="1" applyAlignment="1">
      <alignment vertical="top"/>
    </xf>
    <xf numFmtId="0" fontId="0" fillId="0" borderId="2" xfId="0" applyBorder="1" applyAlignment="1">
      <alignment vertical="top" wrapText="1"/>
    </xf>
    <xf numFmtId="0" fontId="7" fillId="0" borderId="0" xfId="0" applyFont="1" applyAlignment="1">
      <alignment horizontal="center" vertical="top"/>
    </xf>
    <xf numFmtId="0" fontId="4" fillId="0" borderId="0" xfId="0" applyFont="1" applyAlignment="1">
      <alignment horizontal="right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8" fillId="4" borderId="0" xfId="0" applyFont="1" applyFill="1" applyAlignment="1">
      <alignment vertical="top" wrapText="1"/>
    </xf>
    <xf numFmtId="0" fontId="6" fillId="4" borderId="0" xfId="0" applyFont="1" applyFill="1" applyAlignment="1">
      <alignment vertical="top" wrapText="1"/>
    </xf>
    <xf numFmtId="0" fontId="10" fillId="4" borderId="4" xfId="0" applyFont="1" applyFill="1" applyBorder="1" applyAlignment="1">
      <alignment horizontal="right" vertical="top"/>
    </xf>
    <xf numFmtId="0" fontId="8" fillId="4" borderId="0" xfId="0" applyFont="1" applyFill="1" applyAlignment="1">
      <alignment vertical="top"/>
    </xf>
    <xf numFmtId="164" fontId="8" fillId="4" borderId="0" xfId="0" applyNumberFormat="1" applyFont="1" applyFill="1" applyAlignment="1">
      <alignment vertical="top"/>
    </xf>
    <xf numFmtId="0" fontId="11" fillId="4" borderId="0" xfId="0" applyFont="1" applyFill="1" applyAlignment="1">
      <alignment vertical="top" wrapText="1"/>
    </xf>
    <xf numFmtId="164" fontId="10" fillId="4" borderId="0" xfId="0" applyNumberFormat="1" applyFont="1" applyFill="1" applyAlignment="1">
      <alignment vertical="top"/>
    </xf>
    <xf numFmtId="0" fontId="13" fillId="0" borderId="0" xfId="0" applyFont="1" applyAlignment="1">
      <alignment vertical="top" wrapText="1"/>
    </xf>
    <xf numFmtId="0" fontId="10" fillId="4" borderId="0" xfId="0" applyFont="1" applyFill="1" applyAlignment="1">
      <alignment horizontal="right" vertical="top"/>
    </xf>
    <xf numFmtId="164" fontId="0" fillId="0" borderId="0" xfId="0" applyNumberFormat="1" applyAlignment="1">
      <alignment vertical="top"/>
    </xf>
    <xf numFmtId="0" fontId="0" fillId="0" borderId="0" xfId="0" applyAlignment="1">
      <alignment horizontal="center"/>
    </xf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15" fontId="0" fillId="0" borderId="0" xfId="0" applyNumberFormat="1" applyAlignment="1">
      <alignment horizontal="center"/>
    </xf>
    <xf numFmtId="0" fontId="2" fillId="0" borderId="0" xfId="0" applyFont="1"/>
    <xf numFmtId="165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7" fontId="0" fillId="5" borderId="0" xfId="0" applyNumberFormat="1" applyFill="1"/>
    <xf numFmtId="8" fontId="0" fillId="0" borderId="0" xfId="0" applyNumberFormat="1"/>
    <xf numFmtId="168" fontId="0" fillId="3" borderId="0" xfId="0" applyNumberFormat="1" applyFill="1"/>
    <xf numFmtId="169" fontId="0" fillId="0" borderId="0" xfId="0" applyNumberFormat="1"/>
    <xf numFmtId="169" fontId="8" fillId="4" borderId="0" xfId="0" applyNumberFormat="1" applyFont="1" applyFill="1" applyAlignment="1">
      <alignment vertical="top"/>
    </xf>
    <xf numFmtId="169" fontId="10" fillId="4" borderId="7" xfId="0" applyNumberFormat="1" applyFont="1" applyFill="1" applyBorder="1" applyAlignment="1">
      <alignment vertical="top"/>
    </xf>
    <xf numFmtId="169" fontId="10" fillId="4" borderId="0" xfId="0" applyNumberFormat="1" applyFont="1" applyFill="1" applyAlignment="1">
      <alignment vertical="top"/>
    </xf>
    <xf numFmtId="169" fontId="5" fillId="0" borderId="1" xfId="0" applyNumberFormat="1" applyFont="1" applyBorder="1" applyAlignment="1">
      <alignment vertical="top"/>
    </xf>
    <xf numFmtId="0" fontId="15" fillId="6" borderId="8" xfId="0" applyFont="1" applyFill="1" applyBorder="1" applyAlignment="1" applyProtection="1">
      <alignment vertical="top"/>
      <protection locked="0"/>
    </xf>
    <xf numFmtId="0" fontId="8" fillId="7" borderId="0" xfId="0" applyFont="1" applyFill="1" applyAlignment="1">
      <alignment vertical="top"/>
    </xf>
    <xf numFmtId="0" fontId="8" fillId="7" borderId="0" xfId="0" applyFont="1" applyFill="1" applyAlignment="1">
      <alignment vertical="top" wrapText="1"/>
    </xf>
    <xf numFmtId="0" fontId="6" fillId="7" borderId="0" xfId="0" applyFont="1" applyFill="1" applyAlignment="1">
      <alignment vertical="top"/>
    </xf>
    <xf numFmtId="0" fontId="6" fillId="7" borderId="0" xfId="0" applyFont="1" applyFill="1" applyAlignment="1">
      <alignment vertical="top" wrapText="1"/>
    </xf>
    <xf numFmtId="0" fontId="6" fillId="7" borderId="5" xfId="0" applyFont="1" applyFill="1" applyBorder="1" applyAlignment="1">
      <alignment vertical="top" wrapText="1"/>
    </xf>
    <xf numFmtId="0" fontId="10" fillId="7" borderId="0" xfId="0" applyFont="1" applyFill="1" applyAlignment="1">
      <alignment vertical="top"/>
    </xf>
    <xf numFmtId="0" fontId="14" fillId="7" borderId="5" xfId="0" applyFont="1" applyFill="1" applyBorder="1" applyAlignment="1">
      <alignment horizontal="left" wrapText="1"/>
    </xf>
    <xf numFmtId="0" fontId="8" fillId="7" borderId="5" xfId="0" applyFont="1" applyFill="1" applyBorder="1" applyAlignment="1">
      <alignment vertical="top" wrapText="1"/>
    </xf>
    <xf numFmtId="0" fontId="14" fillId="7" borderId="0" xfId="0" applyFont="1" applyFill="1" applyAlignment="1">
      <alignment horizontal="right" wrapText="1"/>
    </xf>
    <xf numFmtId="0" fontId="14" fillId="7" borderId="0" xfId="0" applyFont="1" applyFill="1" applyAlignment="1">
      <alignment horizontal="left" wrapText="1"/>
    </xf>
    <xf numFmtId="0" fontId="9" fillId="7" borderId="0" xfId="0" applyFont="1" applyFill="1" applyAlignment="1">
      <alignment vertical="top" wrapText="1"/>
    </xf>
    <xf numFmtId="0" fontId="9" fillId="7" borderId="0" xfId="0" applyFont="1" applyFill="1" applyAlignment="1">
      <alignment horizontal="left" vertical="top" wrapText="1"/>
    </xf>
    <xf numFmtId="0" fontId="9" fillId="7" borderId="5" xfId="0" applyFont="1" applyFill="1" applyBorder="1" applyAlignment="1">
      <alignment horizontal="left" vertical="top" wrapText="1"/>
    </xf>
    <xf numFmtId="0" fontId="9" fillId="7" borderId="5" xfId="0" applyFont="1" applyFill="1" applyBorder="1" applyAlignment="1">
      <alignment vertical="top" wrapText="1"/>
    </xf>
    <xf numFmtId="0" fontId="8" fillId="7" borderId="0" xfId="0" applyFont="1" applyFill="1" applyAlignment="1">
      <alignment horizontal="left" vertical="top" wrapText="1"/>
    </xf>
    <xf numFmtId="169" fontId="10" fillId="7" borderId="0" xfId="0" applyNumberFormat="1" applyFont="1" applyFill="1" applyAlignment="1">
      <alignment horizontal="left" vertical="top"/>
    </xf>
    <xf numFmtId="164" fontId="10" fillId="7" borderId="5" xfId="0" applyNumberFormat="1" applyFont="1" applyFill="1" applyBorder="1" applyAlignment="1">
      <alignment horizontal="left" vertical="top"/>
    </xf>
    <xf numFmtId="164" fontId="10" fillId="7" borderId="0" xfId="0" applyNumberFormat="1" applyFont="1" applyFill="1" applyAlignment="1">
      <alignment horizontal="left" vertical="top"/>
    </xf>
    <xf numFmtId="0" fontId="10" fillId="7" borderId="0" xfId="0" applyFont="1" applyFill="1" applyAlignment="1">
      <alignment horizontal="right" vertical="top"/>
    </xf>
    <xf numFmtId="164" fontId="8" fillId="7" borderId="0" xfId="0" applyNumberFormat="1" applyFont="1" applyFill="1" applyAlignment="1">
      <alignment horizontal="right" vertical="top"/>
    </xf>
    <xf numFmtId="0" fontId="11" fillId="7" borderId="0" xfId="0" applyFont="1" applyFill="1" applyAlignment="1">
      <alignment vertical="top"/>
    </xf>
    <xf numFmtId="0" fontId="14" fillId="7" borderId="0" xfId="0" applyFont="1" applyFill="1" applyAlignment="1">
      <alignment horizontal="left" vertical="center"/>
    </xf>
    <xf numFmtId="0" fontId="8" fillId="7" borderId="0" xfId="0" applyFont="1" applyFill="1"/>
    <xf numFmtId="169" fontId="8" fillId="7" borderId="0" xfId="0" applyNumberFormat="1" applyFont="1" applyFill="1" applyAlignment="1">
      <alignment vertical="top"/>
    </xf>
    <xf numFmtId="164" fontId="8" fillId="7" borderId="0" xfId="0" applyNumberFormat="1" applyFont="1" applyFill="1" applyAlignment="1">
      <alignment vertical="top"/>
    </xf>
    <xf numFmtId="0" fontId="16" fillId="6" borderId="0" xfId="0" applyFont="1" applyFill="1" applyAlignment="1" applyProtection="1">
      <alignment vertical="top"/>
      <protection locked="0"/>
    </xf>
    <xf numFmtId="0" fontId="8" fillId="0" borderId="0" xfId="0" applyFont="1" applyAlignment="1">
      <alignment vertical="top" wrapText="1"/>
    </xf>
    <xf numFmtId="0" fontId="10" fillId="0" borderId="6" xfId="0" applyFont="1" applyBorder="1" applyAlignment="1" applyProtection="1">
      <alignment vertical="top"/>
      <protection locked="0"/>
    </xf>
    <xf numFmtId="0" fontId="10" fillId="0" borderId="9" xfId="0" applyFont="1" applyBorder="1" applyAlignment="1" applyProtection="1">
      <alignment vertical="top"/>
      <protection locked="0"/>
    </xf>
    <xf numFmtId="0" fontId="15" fillId="0" borderId="1" xfId="0" applyFont="1" applyBorder="1" applyAlignment="1" applyProtection="1">
      <alignment vertical="top"/>
      <protection locked="0"/>
    </xf>
    <xf numFmtId="0" fontId="15" fillId="6" borderId="1" xfId="0" applyFont="1" applyFill="1" applyBorder="1" applyAlignment="1" applyProtection="1">
      <alignment vertical="top"/>
      <protection locked="0"/>
    </xf>
    <xf numFmtId="0" fontId="0" fillId="7" borderId="0" xfId="0" applyFill="1" applyAlignment="1">
      <alignment vertical="top" wrapText="1"/>
    </xf>
    <xf numFmtId="0" fontId="0" fillId="7" borderId="0" xfId="0" applyFill="1" applyAlignment="1">
      <alignment vertical="top"/>
    </xf>
    <xf numFmtId="0" fontId="12" fillId="7" borderId="0" xfId="0" applyFont="1" applyFill="1" applyAlignment="1">
      <alignment horizontal="right" vertical="top"/>
    </xf>
    <xf numFmtId="0" fontId="3" fillId="7" borderId="0" xfId="0" applyFont="1" applyFill="1" applyAlignment="1">
      <alignment vertical="top" wrapText="1"/>
    </xf>
    <xf numFmtId="0" fontId="9" fillId="7" borderId="0" xfId="0" applyFont="1" applyFill="1" applyAlignment="1">
      <alignment vertical="center" wrapText="1"/>
    </xf>
    <xf numFmtId="0" fontId="9" fillId="7" borderId="0" xfId="0" applyFont="1" applyFill="1" applyAlignment="1">
      <alignment horizontal="right" vertical="center" wrapText="1"/>
    </xf>
    <xf numFmtId="0" fontId="10" fillId="7" borderId="4" xfId="0" applyFont="1" applyFill="1" applyBorder="1" applyAlignment="1">
      <alignment horizontal="right" vertical="top"/>
    </xf>
    <xf numFmtId="0" fontId="11" fillId="7" borderId="0" xfId="0" applyFont="1" applyFill="1" applyAlignment="1">
      <alignment vertical="top" wrapText="1"/>
    </xf>
    <xf numFmtId="169" fontId="10" fillId="7" borderId="7" xfId="0" applyNumberFormat="1" applyFont="1" applyFill="1" applyBorder="1" applyAlignment="1">
      <alignment vertical="top"/>
    </xf>
    <xf numFmtId="164" fontId="10" fillId="7" borderId="0" xfId="0" applyNumberFormat="1" applyFont="1" applyFill="1" applyAlignment="1">
      <alignment vertical="top"/>
    </xf>
    <xf numFmtId="169" fontId="10" fillId="7" borderId="0" xfId="0" applyNumberFormat="1" applyFont="1" applyFill="1" applyAlignment="1">
      <alignment vertical="top"/>
    </xf>
    <xf numFmtId="169" fontId="8" fillId="7" borderId="0" xfId="0" applyNumberFormat="1" applyFont="1" applyFill="1" applyAlignment="1">
      <alignment horizontal="right" vertical="top"/>
    </xf>
    <xf numFmtId="0" fontId="17" fillId="0" borderId="0" xfId="0" applyFont="1" applyAlignment="1" applyProtection="1">
      <alignment horizontal="center" vertical="top" wrapText="1"/>
      <protection locked="0"/>
    </xf>
    <xf numFmtId="0" fontId="9" fillId="7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2DAAFF"/>
      <color rgb="FF0A11BA"/>
      <color rgb="FF00AC00"/>
      <color rgb="FF009900"/>
      <color rgb="FF0099FF"/>
      <color rgb="FF57B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33617</xdr:colOff>
      <xdr:row>2</xdr:row>
      <xdr:rowOff>42551</xdr:rowOff>
    </xdr:from>
    <xdr:to>
      <xdr:col>27</xdr:col>
      <xdr:colOff>66441</xdr:colOff>
      <xdr:row>5</xdr:row>
      <xdr:rowOff>67080</xdr:rowOff>
    </xdr:to>
    <xdr:sp macro="" textlink="">
      <xdr:nvSpPr>
        <xdr:cNvPr id="5" name="Flowchart: Off-page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950323" y="614051"/>
          <a:ext cx="1512000" cy="540000"/>
        </a:xfrm>
        <a:prstGeom prst="flowChartOffpageConnector">
          <a:avLst/>
        </a:prstGeom>
        <a:solidFill>
          <a:srgbClr val="2DAAFF"/>
        </a:solidFill>
        <a:ln w="25400" cap="flat" cmpd="sng" algn="ctr">
          <a:noFill/>
          <a:prstDash val="solid"/>
        </a:ln>
        <a:effectLst/>
        <a:scene3d>
          <a:camera prst="orthographicFront"/>
          <a:lightRig rig="threePt" dir="t"/>
        </a:scene3d>
        <a:sp3d>
          <a:bevelT/>
        </a:sp3d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n-ZA" sz="1100" b="1">
              <a:solidFill>
                <a:srgbClr val="FFFFFF"/>
              </a:solidFill>
              <a:effectLst/>
              <a:latin typeface="Arial"/>
              <a:ea typeface="Calibri"/>
              <a:cs typeface="Times New Roman"/>
            </a:rPr>
            <a:t>On Demand </a:t>
          </a:r>
          <a:endParaRPr lang="en-ZA" sz="1100">
            <a:effectLst/>
            <a:latin typeface="Arial"/>
            <a:ea typeface="Calibri"/>
            <a:cs typeface="Times New Roman"/>
          </a:endParaRPr>
        </a:p>
      </xdr:txBody>
    </xdr:sp>
    <xdr:clientData/>
  </xdr:twoCellAnchor>
  <xdr:twoCellAnchor>
    <xdr:from>
      <xdr:col>28</xdr:col>
      <xdr:colOff>22412</xdr:colOff>
      <xdr:row>2</xdr:row>
      <xdr:rowOff>39529</xdr:rowOff>
    </xdr:from>
    <xdr:to>
      <xdr:col>31</xdr:col>
      <xdr:colOff>55236</xdr:colOff>
      <xdr:row>5</xdr:row>
      <xdr:rowOff>64058</xdr:rowOff>
    </xdr:to>
    <xdr:sp macro="" textlink="">
      <xdr:nvSpPr>
        <xdr:cNvPr id="6" name="Flowchart: Off-page Connecto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575177" y="611029"/>
          <a:ext cx="1512000" cy="540000"/>
        </a:xfrm>
        <a:prstGeom prst="flowChartOffpageConnector">
          <a:avLst/>
        </a:prstGeom>
        <a:solidFill>
          <a:srgbClr val="669900"/>
        </a:solidFill>
        <a:ln>
          <a:noFill/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n-ZA" sz="1100" b="1">
              <a:effectLst/>
              <a:latin typeface="Arial"/>
              <a:ea typeface="Calibri"/>
              <a:cs typeface="Times New Roman"/>
            </a:rPr>
            <a:t>Subscription </a:t>
          </a:r>
          <a:endParaRPr lang="en-ZA" sz="1100">
            <a:effectLst/>
            <a:latin typeface="Arial"/>
            <a:ea typeface="Calibri"/>
            <a:cs typeface="Times New Roman"/>
          </a:endParaRPr>
        </a:p>
      </xdr:txBody>
    </xdr:sp>
    <xdr:clientData/>
  </xdr:twoCellAnchor>
  <xdr:twoCellAnchor>
    <xdr:from>
      <xdr:col>31</xdr:col>
      <xdr:colOff>134470</xdr:colOff>
      <xdr:row>2</xdr:row>
      <xdr:rowOff>33617</xdr:rowOff>
    </xdr:from>
    <xdr:to>
      <xdr:col>35</xdr:col>
      <xdr:colOff>10411</xdr:colOff>
      <xdr:row>5</xdr:row>
      <xdr:rowOff>58146</xdr:rowOff>
    </xdr:to>
    <xdr:sp macro="" textlink="">
      <xdr:nvSpPr>
        <xdr:cNvPr id="7" name="Flowchart: Off-page Connector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9166411" y="605117"/>
          <a:ext cx="1512000" cy="540000"/>
        </a:xfrm>
        <a:prstGeom prst="flowChartOffpageConnector">
          <a:avLst/>
        </a:prstGeom>
        <a:solidFill>
          <a:srgbClr val="2DAAFF"/>
        </a:solidFill>
        <a:ln>
          <a:noFill/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n-ZA" sz="1100" b="1">
              <a:effectLst/>
              <a:latin typeface="Arial"/>
              <a:ea typeface="Calibri"/>
              <a:cs typeface="Times New Roman"/>
            </a:rPr>
            <a:t>Annual Subscription</a:t>
          </a:r>
          <a:endParaRPr lang="en-ZA" sz="1100">
            <a:effectLst/>
            <a:latin typeface="Arial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84666</xdr:colOff>
      <xdr:row>1</xdr:row>
      <xdr:rowOff>47627</xdr:rowOff>
    </xdr:from>
    <xdr:to>
      <xdr:col>3</xdr:col>
      <xdr:colOff>889001</xdr:colOff>
      <xdr:row>7</xdr:row>
      <xdr:rowOff>41401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529F103-F764-4F66-999D-DE273B70CE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99" y="211669"/>
          <a:ext cx="1143002" cy="11261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rait">
      <a:dk1>
        <a:srgbClr val="37424A"/>
      </a:dk1>
      <a:lt1>
        <a:srgbClr val="FFFFFF"/>
      </a:lt1>
      <a:dk2>
        <a:srgbClr val="00618A"/>
      </a:dk2>
      <a:lt2>
        <a:srgbClr val="FFFFFF"/>
      </a:lt2>
      <a:accent1>
        <a:srgbClr val="00618A"/>
      </a:accent1>
      <a:accent2>
        <a:srgbClr val="5B9622"/>
      </a:accent2>
      <a:accent3>
        <a:srgbClr val="772432"/>
      </a:accent3>
      <a:accent4>
        <a:srgbClr val="37424A"/>
      </a:accent4>
      <a:accent5>
        <a:srgbClr val="80B0C5"/>
      </a:accent5>
      <a:accent6>
        <a:srgbClr val="ADCB91"/>
      </a:accent6>
      <a:hlink>
        <a:srgbClr val="772432"/>
      </a:hlink>
      <a:folHlink>
        <a:srgbClr val="80B0C5"/>
      </a:folHlink>
    </a:clrScheme>
    <a:fontScheme name="Brait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M59"/>
  <sheetViews>
    <sheetView showGridLines="0" tabSelected="1" zoomScale="85" zoomScaleNormal="85" workbookViewId="0">
      <pane ySplit="9" topLeftCell="A25" activePane="bottomLeft" state="frozen"/>
      <selection pane="bottomLeft" activeCell="K13" sqref="K13:K14"/>
    </sheetView>
  </sheetViews>
  <sheetFormatPr defaultColWidth="9.1328125" defaultRowHeight="12.75" x14ac:dyDescent="0.35"/>
  <cols>
    <col min="1" max="1" width="4.1328125" style="5" customWidth="1"/>
    <col min="2" max="2" width="1.59765625" style="5" customWidth="1"/>
    <col min="3" max="3" width="3.1328125" style="5" customWidth="1"/>
    <col min="4" max="4" width="39.1328125" style="5" customWidth="1"/>
    <col min="5" max="5" width="2.265625" style="6" customWidth="1"/>
    <col min="6" max="6" width="0.3984375" style="6" customWidth="1"/>
    <col min="7" max="7" width="8" style="6" customWidth="1"/>
    <col min="8" max="8" width="11.3984375" style="6" customWidth="1"/>
    <col min="9" max="9" width="0.265625" style="6" customWidth="1"/>
    <col min="10" max="10" width="6.3984375" style="6" customWidth="1"/>
    <col min="11" max="11" width="11.265625" style="6" customWidth="1"/>
    <col min="12" max="12" width="0.86328125" style="6" customWidth="1"/>
    <col min="13" max="13" width="5.265625" style="6" customWidth="1"/>
    <col min="14" max="14" width="0.86328125" style="6" customWidth="1"/>
    <col min="15" max="15" width="5.86328125" style="6" customWidth="1"/>
    <col min="16" max="16" width="8.73046875" style="6" customWidth="1"/>
    <col min="17" max="17" width="0.3984375" style="6" customWidth="1"/>
    <col min="18" max="18" width="5.1328125" style="6" customWidth="1"/>
    <col min="19" max="19" width="9.73046875" style="6" customWidth="1"/>
    <col min="20" max="20" width="0.3984375" style="6" customWidth="1"/>
    <col min="21" max="21" width="5.3984375" style="6" customWidth="1"/>
    <col min="22" max="22" width="10.73046875" style="6" customWidth="1"/>
    <col min="23" max="23" width="2.73046875" style="6" customWidth="1"/>
    <col min="24" max="24" width="3.86328125" style="6" customWidth="1"/>
    <col min="25" max="25" width="2.3984375" style="6" customWidth="1"/>
    <col min="26" max="26" width="17.1328125" style="5" customWidth="1"/>
    <col min="27" max="27" width="2.73046875" style="5" customWidth="1"/>
    <col min="28" max="28" width="2.265625" style="6" customWidth="1"/>
    <col min="29" max="29" width="2.3984375" style="6" customWidth="1"/>
    <col min="30" max="30" width="17.1328125" style="5" customWidth="1"/>
    <col min="31" max="31" width="2.73046875" style="5" customWidth="1"/>
    <col min="32" max="32" width="2.265625" style="6" customWidth="1"/>
    <col min="33" max="33" width="2.3984375" style="6" customWidth="1"/>
    <col min="34" max="34" width="17.1328125" style="5" customWidth="1"/>
    <col min="35" max="35" width="2.73046875" style="5" customWidth="1"/>
    <col min="36" max="16384" width="9.1328125" style="5"/>
  </cols>
  <sheetData>
    <row r="2" spans="2:35" ht="20.65" x14ac:dyDescent="0.35"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Z2" s="6"/>
      <c r="AA2" s="6"/>
      <c r="AC2" s="8"/>
      <c r="AD2" s="9" t="str">
        <f>"Monthly equivalent based upon a "&amp;Days_in_a_month&amp;" day month"</f>
        <v>Monthly equivalent based upon a 30 day month</v>
      </c>
      <c r="AE2" s="7"/>
      <c r="AG2" s="8"/>
    </row>
    <row r="3" spans="2:35" ht="15.75" customHeight="1" x14ac:dyDescent="0.35">
      <c r="E3" s="72"/>
      <c r="F3" s="72"/>
      <c r="G3" s="72"/>
      <c r="H3" s="73"/>
      <c r="I3" s="73"/>
      <c r="J3" s="74" t="s">
        <v>38</v>
      </c>
      <c r="K3" s="84" t="s">
        <v>32</v>
      </c>
      <c r="L3" s="84"/>
      <c r="M3" s="84"/>
      <c r="N3" s="84"/>
      <c r="O3" s="84"/>
      <c r="P3" s="84"/>
      <c r="Q3" s="84"/>
      <c r="R3" s="84"/>
      <c r="S3" s="72"/>
      <c r="T3" s="72"/>
      <c r="U3" s="72"/>
      <c r="V3" s="72"/>
      <c r="W3" s="72"/>
      <c r="Y3" s="5"/>
      <c r="AB3" s="5"/>
      <c r="AC3" s="5"/>
      <c r="AF3" s="5"/>
      <c r="AG3" s="5"/>
    </row>
    <row r="4" spans="2:35" ht="12.75" customHeight="1" x14ac:dyDescent="0.35">
      <c r="E4" s="75"/>
      <c r="F4" s="75"/>
      <c r="G4" s="75"/>
      <c r="H4" s="76"/>
      <c r="I4" s="76"/>
      <c r="J4" s="76"/>
      <c r="K4" s="85" t="str">
        <f>VLOOKUP(K3,Lookups!A:B,2,FALSE)</f>
        <v>Discounted monthly commitment - perfect for ongoing hosting.</v>
      </c>
      <c r="L4" s="85"/>
      <c r="M4" s="85"/>
      <c r="N4" s="85"/>
      <c r="O4" s="85"/>
      <c r="P4" s="85"/>
      <c r="Q4" s="85"/>
      <c r="R4" s="85"/>
      <c r="S4" s="75"/>
      <c r="T4" s="75"/>
      <c r="U4" s="75"/>
      <c r="V4" s="75"/>
      <c r="W4" s="75"/>
    </row>
    <row r="5" spans="2:35" x14ac:dyDescent="0.35">
      <c r="E5" s="72"/>
      <c r="F5" s="72"/>
      <c r="G5" s="72"/>
      <c r="H5" s="76"/>
      <c r="I5" s="76"/>
      <c r="J5" s="76"/>
      <c r="K5" s="85"/>
      <c r="L5" s="85"/>
      <c r="M5" s="85"/>
      <c r="N5" s="85"/>
      <c r="O5" s="85"/>
      <c r="P5" s="85"/>
      <c r="Q5" s="85"/>
      <c r="R5" s="85"/>
      <c r="S5" s="72"/>
      <c r="T5" s="72"/>
      <c r="U5" s="72"/>
      <c r="V5" s="72"/>
      <c r="W5" s="72"/>
    </row>
    <row r="6" spans="2:35" x14ac:dyDescent="0.35">
      <c r="E6" s="72"/>
      <c r="F6" s="72"/>
      <c r="G6" s="72"/>
      <c r="H6" s="77"/>
      <c r="I6" s="77"/>
      <c r="J6" s="76"/>
      <c r="K6" s="85"/>
      <c r="L6" s="85"/>
      <c r="M6" s="85"/>
      <c r="N6" s="85"/>
      <c r="O6" s="85"/>
      <c r="P6" s="85"/>
      <c r="Q6" s="85"/>
      <c r="R6" s="85"/>
      <c r="S6" s="72"/>
      <c r="T6" s="72"/>
      <c r="U6" s="72"/>
      <c r="V6" s="72"/>
      <c r="W6" s="72"/>
    </row>
    <row r="7" spans="2:35" s="12" customFormat="1" ht="13.9" x14ac:dyDescent="0.35"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11"/>
      <c r="Y7" s="20"/>
      <c r="Z7" s="39">
        <f>Z39+Z47+Z58</f>
        <v>0</v>
      </c>
      <c r="AB7" s="11"/>
      <c r="AC7" s="20"/>
      <c r="AD7" s="39">
        <f>AD39+AD47+AD58</f>
        <v>0</v>
      </c>
      <c r="AF7" s="11"/>
      <c r="AG7" s="20"/>
      <c r="AH7" s="39">
        <f>AH39+AH47+AH58</f>
        <v>0</v>
      </c>
    </row>
    <row r="8" spans="2:35" x14ac:dyDescent="0.35">
      <c r="Z8" s="10" t="s">
        <v>45</v>
      </c>
      <c r="AD8" s="10" t="s">
        <v>45</v>
      </c>
      <c r="AH8" s="10" t="s">
        <v>45</v>
      </c>
    </row>
    <row r="10" spans="2:35" x14ac:dyDescent="0.35">
      <c r="B10" s="41"/>
      <c r="C10" s="41"/>
      <c r="D10" s="41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Y10" s="42"/>
      <c r="Z10" s="42"/>
      <c r="AA10" s="42"/>
      <c r="AC10" s="13"/>
      <c r="AD10" s="13"/>
      <c r="AE10" s="13"/>
      <c r="AG10" s="42"/>
      <c r="AH10" s="42"/>
      <c r="AI10" s="42"/>
    </row>
    <row r="11" spans="2:35" s="12" customFormat="1" ht="13.5" x14ac:dyDescent="0.35">
      <c r="B11" s="43"/>
      <c r="C11" s="41"/>
      <c r="D11" s="41"/>
      <c r="E11" s="44"/>
      <c r="F11" s="45"/>
      <c r="G11" s="46" t="s">
        <v>1</v>
      </c>
      <c r="H11" s="42"/>
      <c r="I11" s="45"/>
      <c r="J11" s="46" t="s">
        <v>0</v>
      </c>
      <c r="K11" s="44"/>
      <c r="L11" s="45"/>
      <c r="M11" s="44"/>
      <c r="N11" s="44"/>
      <c r="O11" s="46" t="s">
        <v>2</v>
      </c>
      <c r="P11" s="44"/>
      <c r="Q11" s="45"/>
      <c r="R11" s="46" t="s">
        <v>16</v>
      </c>
      <c r="S11" s="44"/>
      <c r="T11" s="47" t="s">
        <v>68</v>
      </c>
      <c r="U11" s="46" t="s">
        <v>10</v>
      </c>
      <c r="V11" s="44"/>
      <c r="W11" s="48"/>
      <c r="X11" s="11"/>
      <c r="Y11" s="44"/>
      <c r="Z11" s="78" t="s">
        <v>40</v>
      </c>
      <c r="AA11" s="44"/>
      <c r="AB11" s="11"/>
      <c r="AC11" s="14"/>
      <c r="AD11" s="15" t="s">
        <v>40</v>
      </c>
      <c r="AE11" s="14"/>
      <c r="AF11" s="11"/>
      <c r="AG11" s="44"/>
      <c r="AH11" s="78" t="s">
        <v>40</v>
      </c>
      <c r="AI11" s="44"/>
    </row>
    <row r="12" spans="2:35" ht="38.25" x14ac:dyDescent="0.35">
      <c r="B12" s="41"/>
      <c r="C12" s="41"/>
      <c r="D12" s="41"/>
      <c r="E12" s="42"/>
      <c r="F12" s="48"/>
      <c r="G12" s="49" t="s">
        <v>54</v>
      </c>
      <c r="H12" s="50" t="str">
        <f>"Price "&amp;VLOOKUP($K$3,Lookups!$A:$E,4,FALSE)</f>
        <v>Price per day</v>
      </c>
      <c r="I12" s="48"/>
      <c r="J12" s="49" t="s">
        <v>55</v>
      </c>
      <c r="K12" s="50" t="str">
        <f>"Price "&amp;VLOOKUP($K$3,Lookups!$A:$E,4,FALSE)</f>
        <v>Price per day</v>
      </c>
      <c r="L12" s="47"/>
      <c r="M12" s="50"/>
      <c r="N12" s="50"/>
      <c r="O12" s="49" t="s">
        <v>19</v>
      </c>
      <c r="P12" s="50" t="str">
        <f>"Price "&amp;VLOOKUP($K$3,Lookups!$A:$E,4,FALSE)</f>
        <v>Price per day</v>
      </c>
      <c r="Q12" s="47"/>
      <c r="R12" s="49" t="s">
        <v>20</v>
      </c>
      <c r="S12" s="50" t="str">
        <f>"Price "&amp;VLOOKUP($K$3,Lookups!$A:$E,4,FALSE)</f>
        <v>Price per day</v>
      </c>
      <c r="T12" s="47"/>
      <c r="U12" s="49" t="s">
        <v>20</v>
      </c>
      <c r="V12" s="50" t="str">
        <f>"Price "&amp;VLOOKUP($K$3,Lookups!$A:$E,4,FALSE)</f>
        <v>Price per day</v>
      </c>
      <c r="W12" s="48"/>
      <c r="Y12" s="42"/>
      <c r="Z12" s="42"/>
      <c r="AA12" s="42"/>
      <c r="AC12" s="13"/>
      <c r="AD12" s="13"/>
      <c r="AE12" s="13"/>
      <c r="AG12" s="42"/>
      <c r="AH12" s="42"/>
      <c r="AI12" s="42"/>
    </row>
    <row r="13" spans="2:35" ht="6.75" customHeight="1" x14ac:dyDescent="0.35">
      <c r="B13" s="41"/>
      <c r="C13" s="41"/>
      <c r="D13" s="41"/>
      <c r="E13" s="42"/>
      <c r="F13" s="48"/>
      <c r="G13" s="51"/>
      <c r="H13" s="52"/>
      <c r="I13" s="48"/>
      <c r="J13" s="51"/>
      <c r="K13" s="52"/>
      <c r="L13" s="53"/>
      <c r="M13" s="52"/>
      <c r="N13" s="52"/>
      <c r="O13" s="51"/>
      <c r="P13" s="52"/>
      <c r="Q13" s="53"/>
      <c r="R13" s="51"/>
      <c r="S13" s="52"/>
      <c r="T13" s="53"/>
      <c r="U13" s="51"/>
      <c r="V13" s="52"/>
      <c r="W13" s="54"/>
      <c r="Y13" s="42"/>
      <c r="Z13" s="42"/>
      <c r="AA13" s="42"/>
      <c r="AC13" s="13"/>
      <c r="AD13" s="13"/>
      <c r="AE13" s="13"/>
      <c r="AG13" s="42"/>
      <c r="AH13" s="42"/>
      <c r="AI13" s="42"/>
    </row>
    <row r="14" spans="2:35" ht="14.45" customHeight="1" x14ac:dyDescent="0.35">
      <c r="B14" s="41"/>
      <c r="C14" s="41"/>
      <c r="D14" s="41"/>
      <c r="E14" s="42"/>
      <c r="F14" s="48"/>
      <c r="G14" s="51"/>
      <c r="H14" s="52"/>
      <c r="I14" s="48"/>
      <c r="J14" s="51"/>
      <c r="K14" s="52"/>
      <c r="L14" s="53"/>
      <c r="M14" s="55" t="s">
        <v>105</v>
      </c>
      <c r="N14" s="55"/>
      <c r="O14" s="42" t="s">
        <v>106</v>
      </c>
      <c r="P14" s="52"/>
      <c r="Q14" s="53"/>
      <c r="R14" s="51"/>
      <c r="S14" s="52"/>
      <c r="T14" s="53"/>
      <c r="U14" s="51"/>
      <c r="V14" s="52"/>
      <c r="W14" s="54"/>
      <c r="Y14" s="42"/>
      <c r="Z14" s="42"/>
      <c r="AA14" s="42"/>
      <c r="AC14" s="13"/>
      <c r="AD14" s="13"/>
      <c r="AE14" s="13"/>
      <c r="AG14" s="42"/>
      <c r="AH14" s="42"/>
      <c r="AI14" s="42"/>
    </row>
    <row r="15" spans="2:35" ht="13.9" x14ac:dyDescent="0.35">
      <c r="B15" s="41"/>
      <c r="C15" s="41"/>
      <c r="D15" s="66" t="s">
        <v>60</v>
      </c>
      <c r="E15" s="42"/>
      <c r="F15" s="48"/>
      <c r="G15" s="40">
        <v>0</v>
      </c>
      <c r="H15" s="56">
        <f>G15*VLOOKUP(G$11,Rates!A:I,VLOOKUP($K$3,Lookups!A:E,3,FALSE),FALSE)</f>
        <v>0</v>
      </c>
      <c r="I15" s="48"/>
      <c r="J15" s="40">
        <v>0</v>
      </c>
      <c r="K15" s="56">
        <f>J15*VLOOKUP(J$11,Rates!A:I,VLOOKUP($K$3,Lookups!A:E,3,FALSE),FALSE)</f>
        <v>0</v>
      </c>
      <c r="L15" s="57"/>
      <c r="M15" s="40">
        <v>0</v>
      </c>
      <c r="N15" s="58"/>
      <c r="O15" s="40">
        <v>0</v>
      </c>
      <c r="P15" s="56">
        <f>O15*VLOOKUP(O$14,Rates!A:I,VLOOKUP($K$3,Lookups!A:E,3,FALSE),FALSE) +M15*VLOOKUP(M$14,Rates!A:I,VLOOKUP($K$3,Lookups!A:E,3,FALSE),FALSE)</f>
        <v>0</v>
      </c>
      <c r="Q15" s="57"/>
      <c r="R15" s="40">
        <v>0</v>
      </c>
      <c r="S15" s="56">
        <f>R15*VLOOKUP(R$11,Rates!A:I,VLOOKUP($K$3,Lookups!A:E,3,FALSE),FALSE)</f>
        <v>0</v>
      </c>
      <c r="T15" s="57"/>
      <c r="U15" s="40">
        <v>0</v>
      </c>
      <c r="V15" s="56">
        <f>U15*VLOOKUP(U$11,Rates!A:I,VLOOKUP($K$3,Lookups!A:E,3,FALSE),FALSE)</f>
        <v>0</v>
      </c>
      <c r="W15" s="48"/>
      <c r="Y15" s="42"/>
      <c r="Z15" s="64">
        <f>G15*VLOOKUP(G$11,Rates!A:I,7,FALSE)+J15*VLOOKUP(J$11,Rates!A:I,7,FALSE)+O15*VLOOKUP(O$14,Rates!A:I,7,FALSE)+M15*VLOOKUP(M$14,Rates!A:I,7,FALSE)+R15*VLOOKUP(R$11,Rates!A:I,7,FALSE)+U15*VLOOKUP(U$11,Rates!A:I,7,FALSE)</f>
        <v>0</v>
      </c>
      <c r="AA15" s="41"/>
      <c r="AC15" s="13"/>
      <c r="AD15" s="36">
        <f>G15*VLOOKUP(G$11,Rates!A:I,8,FALSE)+J15*VLOOKUP(J$11,Rates!A:I,8,FALSE)+O15*VLOOKUP(O$14,Rates!A:I,8,FALSE)+M15*VLOOKUP(M$14,Rates!A:I,8,FALSE)+R15*VLOOKUP(R$11,Rates!A:I,8,FALSE)+U15*VLOOKUP(U$11,Rates!A:I,8,FALSE)</f>
        <v>0</v>
      </c>
      <c r="AE15" s="16"/>
      <c r="AG15" s="42"/>
      <c r="AH15" s="64">
        <f>G15*VLOOKUP(G$11,Rates!A:I,9,FALSE)+J15*VLOOKUP(J$11,Rates!A:I,9,FALSE)+O15*VLOOKUP(O$14,Rates!A:I,9,FALSE)+M15*VLOOKUP(M$14,Rates!A:I,9,FALSE)+R15*VLOOKUP(R$11,Rates!A:I,9,FALSE)+U15*VLOOKUP(U$11,Rates!A:I,9,FALSE)</f>
        <v>0</v>
      </c>
      <c r="AI15" s="41"/>
    </row>
    <row r="16" spans="2:35" ht="3.75" customHeight="1" x14ac:dyDescent="0.35">
      <c r="B16" s="41"/>
      <c r="C16" s="41"/>
      <c r="D16" s="41"/>
      <c r="E16" s="42"/>
      <c r="F16" s="48"/>
      <c r="G16" s="51"/>
      <c r="H16" s="52"/>
      <c r="I16" s="48"/>
      <c r="J16" s="51"/>
      <c r="K16" s="52"/>
      <c r="L16" s="53"/>
      <c r="M16" s="52"/>
      <c r="N16" s="52"/>
      <c r="O16" s="51"/>
      <c r="P16" s="58"/>
      <c r="Q16" s="53"/>
      <c r="R16" s="51"/>
      <c r="S16" s="52"/>
      <c r="T16" s="53"/>
      <c r="U16" s="51"/>
      <c r="V16" s="52"/>
      <c r="W16" s="54"/>
      <c r="Y16" s="42"/>
      <c r="Z16" s="65"/>
      <c r="AA16" s="42"/>
      <c r="AC16" s="13"/>
      <c r="AD16" s="17"/>
      <c r="AE16" s="13"/>
      <c r="AG16" s="42"/>
      <c r="AH16" s="65"/>
      <c r="AI16" s="42"/>
    </row>
    <row r="17" spans="2:39" ht="13.9" x14ac:dyDescent="0.35">
      <c r="B17" s="41"/>
      <c r="C17" s="41"/>
      <c r="D17" s="66" t="s">
        <v>61</v>
      </c>
      <c r="E17" s="42"/>
      <c r="F17" s="48"/>
      <c r="G17" s="40">
        <v>0</v>
      </c>
      <c r="H17" s="56">
        <f>G17*VLOOKUP(G$11,Rates!A:I,VLOOKUP($K$3,Lookups!A:E,3,FALSE),FALSE)</f>
        <v>0</v>
      </c>
      <c r="I17" s="48"/>
      <c r="J17" s="40">
        <v>0</v>
      </c>
      <c r="K17" s="56">
        <f>J17*VLOOKUP(J$11,Rates!A:I,VLOOKUP($K$3,Lookups!A:E,3,FALSE),FALSE)</f>
        <v>0</v>
      </c>
      <c r="L17" s="57"/>
      <c r="M17" s="40">
        <v>0</v>
      </c>
      <c r="N17" s="58"/>
      <c r="O17" s="40">
        <v>0</v>
      </c>
      <c r="P17" s="56">
        <f>O17*VLOOKUP(O$14,Rates!A:I,VLOOKUP($K$3,Lookups!A:E,3,FALSE),FALSE) +M17*VLOOKUP(M$14,Rates!A:I,VLOOKUP($K$3,Lookups!A:E,3,FALSE),FALSE)</f>
        <v>0</v>
      </c>
      <c r="Q17" s="57"/>
      <c r="R17" s="40">
        <v>0</v>
      </c>
      <c r="S17" s="56">
        <f>R17*VLOOKUP(R$11,Rates!A:I,VLOOKUP($K$3,Lookups!A:E,3,FALSE),FALSE)</f>
        <v>0</v>
      </c>
      <c r="T17" s="57"/>
      <c r="U17" s="40">
        <v>0</v>
      </c>
      <c r="V17" s="56">
        <f>U17*VLOOKUP(U$11,Rates!A:I,VLOOKUP($K$3,Lookups!A:E,3,FALSE),FALSE)</f>
        <v>0</v>
      </c>
      <c r="W17" s="48"/>
      <c r="Y17" s="42"/>
      <c r="Z17" s="64">
        <f>G17*VLOOKUP(G$11,Rates!A:I,7,FALSE)+J17*VLOOKUP(J$11,Rates!A:I,7,FALSE)+O17*VLOOKUP(O$14,Rates!A:I,7,FALSE)+M17*VLOOKUP(M$14,Rates!A:I,7,FALSE)+R17*VLOOKUP(R$11,Rates!A:I,7,FALSE)+U17*VLOOKUP(U$11,Rates!A:I,7,FALSE)</f>
        <v>0</v>
      </c>
      <c r="AA17" s="41"/>
      <c r="AC17" s="13"/>
      <c r="AD17" s="36">
        <f>G17*VLOOKUP(G$11,Rates!A:I,8,FALSE)+J17*VLOOKUP(J$11,Rates!A:I,8,FALSE)+O17*VLOOKUP(O$14,Rates!A:I,8,FALSE)+M17*VLOOKUP(M$14,Rates!A:I,8,FALSE)+R17*VLOOKUP(R$11,Rates!A:I,8,FALSE)+U17*VLOOKUP(U$11,Rates!A:I,8,FALSE)</f>
        <v>0</v>
      </c>
      <c r="AE17" s="16"/>
      <c r="AG17" s="42"/>
      <c r="AH17" s="64">
        <f>G17*VLOOKUP(G$11,Rates!A:I,9,FALSE)+J17*VLOOKUP(J$11,Rates!A:I,9,FALSE)+O17*VLOOKUP(O$14,Rates!A:I,9,FALSE)+M17*VLOOKUP(M$14,Rates!A:I,9,FALSE)+R17*VLOOKUP(R$11,Rates!A:I,9,FALSE)+U17*VLOOKUP(U$11,Rates!A:I,9,FALSE)</f>
        <v>0</v>
      </c>
      <c r="AI17" s="41"/>
    </row>
    <row r="18" spans="2:39" ht="3.75" customHeight="1" x14ac:dyDescent="0.35">
      <c r="B18" s="41"/>
      <c r="C18" s="41"/>
      <c r="D18" s="41"/>
      <c r="E18" s="42"/>
      <c r="F18" s="48"/>
      <c r="G18" s="51"/>
      <c r="H18" s="52"/>
      <c r="I18" s="48"/>
      <c r="J18" s="51"/>
      <c r="K18" s="52"/>
      <c r="L18" s="53"/>
      <c r="M18" s="52"/>
      <c r="N18" s="52"/>
      <c r="O18" s="51"/>
      <c r="P18" s="58"/>
      <c r="Q18" s="53"/>
      <c r="R18" s="51"/>
      <c r="S18" s="52"/>
      <c r="T18" s="53"/>
      <c r="U18" s="51"/>
      <c r="V18" s="52"/>
      <c r="W18" s="54"/>
      <c r="Y18" s="42"/>
      <c r="Z18" s="65"/>
      <c r="AA18" s="42"/>
      <c r="AC18" s="13"/>
      <c r="AD18" s="17"/>
      <c r="AE18" s="13"/>
      <c r="AG18" s="42"/>
      <c r="AH18" s="65"/>
      <c r="AI18" s="42"/>
    </row>
    <row r="19" spans="2:39" ht="13.9" x14ac:dyDescent="0.35">
      <c r="B19" s="41"/>
      <c r="C19" s="41"/>
      <c r="D19" s="66" t="s">
        <v>62</v>
      </c>
      <c r="E19" s="42"/>
      <c r="F19" s="48"/>
      <c r="G19" s="40">
        <v>0</v>
      </c>
      <c r="H19" s="56">
        <f>G19*VLOOKUP(G$11,Rates!A:I,VLOOKUP($K$3,Lookups!A:E,3,FALSE),FALSE)</f>
        <v>0</v>
      </c>
      <c r="I19" s="48"/>
      <c r="J19" s="40">
        <v>0</v>
      </c>
      <c r="K19" s="56">
        <f>J19*VLOOKUP(J$11,Rates!A:I,VLOOKUP($K$3,Lookups!A:E,3,FALSE),FALSE)</f>
        <v>0</v>
      </c>
      <c r="L19" s="57"/>
      <c r="M19" s="40">
        <v>0</v>
      </c>
      <c r="N19" s="58"/>
      <c r="O19" s="40">
        <v>0</v>
      </c>
      <c r="P19" s="56">
        <f>O19*VLOOKUP(O$14,Rates!A:I,VLOOKUP($K$3,Lookups!A:E,3,FALSE),FALSE) +M19*VLOOKUP(M$14,Rates!A:I,VLOOKUP($K$3,Lookups!A:E,3,FALSE),FALSE)</f>
        <v>0</v>
      </c>
      <c r="Q19" s="57"/>
      <c r="R19" s="40">
        <v>0</v>
      </c>
      <c r="S19" s="56">
        <f>R19*VLOOKUP(R$11,Rates!A:I,VLOOKUP($K$3,Lookups!A:E,3,FALSE),FALSE)</f>
        <v>0</v>
      </c>
      <c r="T19" s="57"/>
      <c r="U19" s="40">
        <v>0</v>
      </c>
      <c r="V19" s="56">
        <f>U19*VLOOKUP(U$11,Rates!A:I,VLOOKUP($K$3,Lookups!A:E,3,FALSE),FALSE)</f>
        <v>0</v>
      </c>
      <c r="W19" s="48"/>
      <c r="Y19" s="42"/>
      <c r="Z19" s="64">
        <f>G19*VLOOKUP(G$11,Rates!A:I,7,FALSE)+J19*VLOOKUP(J$11,Rates!A:I,7,FALSE)+O19*VLOOKUP(O$14,Rates!A:I,7,FALSE)+M19*VLOOKUP(M$14,Rates!A:I,7,FALSE)+R19*VLOOKUP(R$11,Rates!A:I,7,FALSE)+U19*VLOOKUP(U$11,Rates!A:I,7,FALSE)</f>
        <v>0</v>
      </c>
      <c r="AA19" s="41"/>
      <c r="AC19" s="13"/>
      <c r="AD19" s="36">
        <f>G19*VLOOKUP(G$11,Rates!A:I,8,FALSE)+J19*VLOOKUP(J$11,Rates!A:I,8,FALSE)+O19*VLOOKUP(O$14,Rates!A:I,8,FALSE)+M19*VLOOKUP(M$14,Rates!A:I,8,FALSE)+R19*VLOOKUP(R$11,Rates!A:I,8,FALSE)+U19*VLOOKUP(U$11,Rates!A:I,8,FALSE)</f>
        <v>0</v>
      </c>
      <c r="AE19" s="16"/>
      <c r="AG19" s="42"/>
      <c r="AH19" s="64">
        <f>G19*VLOOKUP(G$11,Rates!A:I,9,FALSE)+J19*VLOOKUP(J$11,Rates!A:I,9,FALSE)+O19*VLOOKUP(O$14,Rates!A:I,9,FALSE)+M19*VLOOKUP(M$14,Rates!A:I,9,FALSE)+R19*VLOOKUP(R$11,Rates!A:I,9,FALSE)+U19*VLOOKUP(U$11,Rates!A:I,9,FALSE)</f>
        <v>0</v>
      </c>
      <c r="AI19" s="41"/>
    </row>
    <row r="20" spans="2:39" ht="3.75" customHeight="1" x14ac:dyDescent="0.35">
      <c r="B20" s="41"/>
      <c r="C20" s="41"/>
      <c r="D20" s="41"/>
      <c r="E20" s="42"/>
      <c r="F20" s="48"/>
      <c r="G20" s="51"/>
      <c r="H20" s="52"/>
      <c r="I20" s="48"/>
      <c r="J20" s="51"/>
      <c r="K20" s="52"/>
      <c r="L20" s="53"/>
      <c r="M20" s="52"/>
      <c r="N20" s="52"/>
      <c r="O20" s="51"/>
      <c r="P20" s="58"/>
      <c r="Q20" s="53"/>
      <c r="R20" s="51"/>
      <c r="S20" s="52"/>
      <c r="T20" s="53"/>
      <c r="U20" s="51"/>
      <c r="V20" s="52"/>
      <c r="W20" s="54"/>
      <c r="Y20" s="42"/>
      <c r="Z20" s="65"/>
      <c r="AA20" s="42"/>
      <c r="AC20" s="13"/>
      <c r="AD20" s="17"/>
      <c r="AE20" s="13"/>
      <c r="AG20" s="42"/>
      <c r="AH20" s="65"/>
      <c r="AI20" s="42"/>
    </row>
    <row r="21" spans="2:39" ht="13.9" x14ac:dyDescent="0.35">
      <c r="B21" s="41"/>
      <c r="C21" s="41"/>
      <c r="D21" s="66" t="s">
        <v>63</v>
      </c>
      <c r="E21" s="42"/>
      <c r="F21" s="48"/>
      <c r="G21" s="40">
        <v>0</v>
      </c>
      <c r="H21" s="56">
        <f>G21*VLOOKUP(G$11,Rates!A:I,VLOOKUP($K$3,Lookups!A:E,3,FALSE),FALSE)</f>
        <v>0</v>
      </c>
      <c r="I21" s="48"/>
      <c r="J21" s="40">
        <v>0</v>
      </c>
      <c r="K21" s="56">
        <f>J21*VLOOKUP(J$11,Rates!A:I,VLOOKUP($K$3,Lookups!A:E,3,FALSE),FALSE)</f>
        <v>0</v>
      </c>
      <c r="L21" s="57"/>
      <c r="M21" s="40">
        <v>0</v>
      </c>
      <c r="N21" s="58"/>
      <c r="O21" s="40">
        <v>0</v>
      </c>
      <c r="P21" s="56">
        <f>O21*VLOOKUP(O$14,Rates!A:I,VLOOKUP($K$3,Lookups!A:E,3,FALSE),FALSE) +M21*VLOOKUP(M$14,Rates!A:I,VLOOKUP($K$3,Lookups!A:E,3,FALSE),FALSE)</f>
        <v>0</v>
      </c>
      <c r="Q21" s="57"/>
      <c r="R21" s="40">
        <v>0</v>
      </c>
      <c r="S21" s="56">
        <f>R21*VLOOKUP(R$11,Rates!A:I,VLOOKUP($K$3,Lookups!A:E,3,FALSE),FALSE)</f>
        <v>0</v>
      </c>
      <c r="T21" s="57"/>
      <c r="U21" s="40">
        <v>0</v>
      </c>
      <c r="V21" s="56">
        <f>U21*VLOOKUP(U$11,Rates!A:I,VLOOKUP($K$3,Lookups!A:E,3,FALSE),FALSE)</f>
        <v>0</v>
      </c>
      <c r="W21" s="48"/>
      <c r="Y21" s="42"/>
      <c r="Z21" s="64">
        <f>G21*VLOOKUP(G$11,Rates!A:I,7,FALSE)+J21*VLOOKUP(J$11,Rates!A:I,7,FALSE)+O21*VLOOKUP(O$14,Rates!A:I,7,FALSE)+M21*VLOOKUP(M$14,Rates!A:I,7,FALSE)+R21*VLOOKUP(R$11,Rates!A:I,7,FALSE)+U21*VLOOKUP(U$11,Rates!A:I,7,FALSE)</f>
        <v>0</v>
      </c>
      <c r="AA21" s="41"/>
      <c r="AC21" s="13"/>
      <c r="AD21" s="36">
        <f>G21*VLOOKUP(G$11,Rates!A:I,8,FALSE)+J21*VLOOKUP(J$11,Rates!A:I,8,FALSE)+O21*VLOOKUP(O$14,Rates!A:I,8,FALSE)+M21*VLOOKUP(M$14,Rates!A:I,8,FALSE)+R21*VLOOKUP(R$11,Rates!A:I,8,FALSE)+U21*VLOOKUP(U$11,Rates!A:I,8,FALSE)</f>
        <v>0</v>
      </c>
      <c r="AE21" s="16"/>
      <c r="AG21" s="42"/>
      <c r="AH21" s="64">
        <f>G21*VLOOKUP(G$11,Rates!A:I,9,FALSE)+J21*VLOOKUP(J$11,Rates!A:I,9,FALSE)+O21*VLOOKUP(O$14,Rates!A:I,9,FALSE)+M21*VLOOKUP(M$14,Rates!A:I,9,FALSE)+R21*VLOOKUP(R$11,Rates!A:I,9,FALSE)+U21*VLOOKUP(U$11,Rates!A:I,9,FALSE)</f>
        <v>0</v>
      </c>
      <c r="AI21" s="41"/>
      <c r="AM21" s="5" t="s">
        <v>111</v>
      </c>
    </row>
    <row r="22" spans="2:39" ht="3.75" customHeight="1" x14ac:dyDescent="0.35">
      <c r="B22" s="41"/>
      <c r="C22" s="41"/>
      <c r="D22" s="41"/>
      <c r="E22" s="42"/>
      <c r="F22" s="48"/>
      <c r="G22" s="51"/>
      <c r="H22" s="52"/>
      <c r="I22" s="48"/>
      <c r="J22" s="51"/>
      <c r="K22" s="52"/>
      <c r="L22" s="53"/>
      <c r="M22" s="52"/>
      <c r="N22" s="52"/>
      <c r="O22" s="51"/>
      <c r="P22" s="58"/>
      <c r="Q22" s="53"/>
      <c r="R22" s="51"/>
      <c r="S22" s="52"/>
      <c r="T22" s="53"/>
      <c r="U22" s="51"/>
      <c r="V22" s="52"/>
      <c r="W22" s="54"/>
      <c r="Y22" s="42"/>
      <c r="Z22" s="65"/>
      <c r="AA22" s="42"/>
      <c r="AC22" s="13"/>
      <c r="AD22" s="17"/>
      <c r="AE22" s="13"/>
      <c r="AG22" s="42"/>
      <c r="AH22" s="65"/>
      <c r="AI22" s="42"/>
    </row>
    <row r="23" spans="2:39" ht="13.9" x14ac:dyDescent="0.35">
      <c r="B23" s="41"/>
      <c r="C23" s="41"/>
      <c r="D23" s="66" t="s">
        <v>64</v>
      </c>
      <c r="E23" s="42"/>
      <c r="F23" s="48"/>
      <c r="G23" s="40">
        <v>0</v>
      </c>
      <c r="H23" s="56">
        <f>G23*VLOOKUP(G$11,Rates!A:I,VLOOKUP($K$3,Lookups!A:E,3,FALSE),FALSE)</f>
        <v>0</v>
      </c>
      <c r="I23" s="48"/>
      <c r="J23" s="40">
        <v>0</v>
      </c>
      <c r="K23" s="56">
        <f>J23*VLOOKUP(J$11,Rates!A:I,VLOOKUP($K$3,Lookups!A:E,3,FALSE),FALSE)</f>
        <v>0</v>
      </c>
      <c r="L23" s="57"/>
      <c r="M23" s="40">
        <v>0</v>
      </c>
      <c r="N23" s="58"/>
      <c r="O23" s="40">
        <v>0</v>
      </c>
      <c r="P23" s="56">
        <f>O23*VLOOKUP(O$14,Rates!A:I,VLOOKUP($K$3,Lookups!A:E,3,FALSE),FALSE) +M23*VLOOKUP(M$14,Rates!A:I,VLOOKUP($K$3,Lookups!A:E,3,FALSE),FALSE)</f>
        <v>0</v>
      </c>
      <c r="Q23" s="57"/>
      <c r="R23" s="40">
        <v>0</v>
      </c>
      <c r="S23" s="56">
        <f>R23*VLOOKUP(R$11,Rates!A:I,VLOOKUP($K$3,Lookups!A:E,3,FALSE),FALSE)</f>
        <v>0</v>
      </c>
      <c r="T23" s="57"/>
      <c r="U23" s="40">
        <v>0</v>
      </c>
      <c r="V23" s="56">
        <f>U23*VLOOKUP(U$11,Rates!A:I,VLOOKUP($K$3,Lookups!A:E,3,FALSE),FALSE)</f>
        <v>0</v>
      </c>
      <c r="W23" s="48"/>
      <c r="Y23" s="42"/>
      <c r="Z23" s="64">
        <f>G23*VLOOKUP(G$11,Rates!A:I,7,FALSE)+J23*VLOOKUP(J$11,Rates!A:I,7,FALSE)+O23*VLOOKUP(O$14,Rates!A:I,7,FALSE)+M23*VLOOKUP(M$14,Rates!A:I,7,FALSE)+R23*VLOOKUP(R$11,Rates!A:I,7,FALSE)+U23*VLOOKUP(U$11,Rates!A:I,7,FALSE)</f>
        <v>0</v>
      </c>
      <c r="AA23" s="41"/>
      <c r="AC23" s="13"/>
      <c r="AD23" s="36">
        <f>G23*VLOOKUP(G$11,Rates!A:I,8,FALSE)+J23*VLOOKUP(J$11,Rates!A:I,8,FALSE)+O23*VLOOKUP(O$14,Rates!A:I,8,FALSE)+M23*VLOOKUP(M$14,Rates!A:I,8,FALSE)+R23*VLOOKUP(R$11,Rates!A:I,8,FALSE)+U23*VLOOKUP(U$11,Rates!A:I,8,FALSE)</f>
        <v>0</v>
      </c>
      <c r="AE23" s="16"/>
      <c r="AG23" s="42"/>
      <c r="AH23" s="64">
        <f>G23*VLOOKUP(G$11,Rates!A:I,9,FALSE)+J23*VLOOKUP(J$11,Rates!A:I,9,FALSE)+O23*VLOOKUP(O$14,Rates!A:I,9,FALSE)+M23*VLOOKUP(M$14,Rates!A:I,9,FALSE)+R23*VLOOKUP(R$11,Rates!A:I,9,FALSE)+U23*VLOOKUP(U$11,Rates!A:I,9,FALSE)</f>
        <v>0</v>
      </c>
      <c r="AI23" s="41"/>
    </row>
    <row r="24" spans="2:39" ht="3.75" customHeight="1" x14ac:dyDescent="0.35">
      <c r="B24" s="41"/>
      <c r="C24" s="41"/>
      <c r="D24" s="41"/>
      <c r="E24" s="42"/>
      <c r="F24" s="48"/>
      <c r="G24" s="51"/>
      <c r="H24" s="52"/>
      <c r="I24" s="48"/>
      <c r="J24" s="51"/>
      <c r="K24" s="52"/>
      <c r="L24" s="53"/>
      <c r="M24" s="52"/>
      <c r="N24" s="52"/>
      <c r="O24" s="51"/>
      <c r="P24" s="58"/>
      <c r="Q24" s="53"/>
      <c r="R24" s="51"/>
      <c r="S24" s="52"/>
      <c r="T24" s="53"/>
      <c r="U24" s="51"/>
      <c r="V24" s="52"/>
      <c r="W24" s="54"/>
      <c r="Y24" s="42"/>
      <c r="Z24" s="65"/>
      <c r="AA24" s="42"/>
      <c r="AC24" s="13"/>
      <c r="AD24" s="17"/>
      <c r="AE24" s="13"/>
      <c r="AG24" s="42"/>
      <c r="AH24" s="65"/>
      <c r="AI24" s="42"/>
    </row>
    <row r="25" spans="2:39" ht="13.9" x14ac:dyDescent="0.35">
      <c r="B25" s="41"/>
      <c r="C25" s="41"/>
      <c r="D25" s="66" t="s">
        <v>65</v>
      </c>
      <c r="E25" s="42"/>
      <c r="F25" s="48"/>
      <c r="G25" s="40">
        <v>0</v>
      </c>
      <c r="H25" s="56">
        <f>G25*VLOOKUP(G$11,Rates!A:I,VLOOKUP($K$3,Lookups!A:E,3,FALSE),FALSE)</f>
        <v>0</v>
      </c>
      <c r="I25" s="48"/>
      <c r="J25" s="40">
        <v>0</v>
      </c>
      <c r="K25" s="56">
        <f>J25*VLOOKUP(J$11,Rates!A:I,VLOOKUP($K$3,Lookups!A:E,3,FALSE),FALSE)</f>
        <v>0</v>
      </c>
      <c r="L25" s="57"/>
      <c r="M25" s="40">
        <v>0</v>
      </c>
      <c r="N25" s="58"/>
      <c r="O25" s="40">
        <v>0</v>
      </c>
      <c r="P25" s="56">
        <f>O25*VLOOKUP(O$14,Rates!A:I,VLOOKUP($K$3,Lookups!A:E,3,FALSE),FALSE) +M25*VLOOKUP(M$14,Rates!A:I,VLOOKUP($K$3,Lookups!A:E,3,FALSE),FALSE)</f>
        <v>0</v>
      </c>
      <c r="Q25" s="57"/>
      <c r="R25" s="40">
        <v>0</v>
      </c>
      <c r="S25" s="56">
        <f>R25*VLOOKUP(R$11,Rates!A:I,VLOOKUP($K$3,Lookups!A:E,3,FALSE),FALSE)</f>
        <v>0</v>
      </c>
      <c r="T25" s="57"/>
      <c r="U25" s="40">
        <v>0</v>
      </c>
      <c r="V25" s="56">
        <f>U25*VLOOKUP(U$11,Rates!A:I,VLOOKUP($K$3,Lookups!A:E,3,FALSE),FALSE)</f>
        <v>0</v>
      </c>
      <c r="W25" s="48"/>
      <c r="Y25" s="42"/>
      <c r="Z25" s="64">
        <f>G25*VLOOKUP(G$11,Rates!A:I,7,FALSE)+J25*VLOOKUP(J$11,Rates!A:I,7,FALSE)+O25*VLOOKUP(O$14,Rates!A:I,7,FALSE)+M25*VLOOKUP(M$14,Rates!A:I,7,FALSE)+R25*VLOOKUP(R$11,Rates!A:I,7,FALSE)+U25*VLOOKUP(U$11,Rates!A:I,7,FALSE)</f>
        <v>0</v>
      </c>
      <c r="AA25" s="41"/>
      <c r="AC25" s="13"/>
      <c r="AD25" s="36">
        <f>G25*VLOOKUP(G$11,Rates!A:I,8,FALSE)+J25*VLOOKUP(J$11,Rates!A:I,8,FALSE)+O25*VLOOKUP(O$14,Rates!A:I,8,FALSE)+M25*VLOOKUP(M$14,Rates!A:I,8,FALSE)+R25*VLOOKUP(R$11,Rates!A:I,8,FALSE)+U25*VLOOKUP(U$11,Rates!A:I,8,FALSE)</f>
        <v>0</v>
      </c>
      <c r="AE25" s="16"/>
      <c r="AG25" s="42"/>
      <c r="AH25" s="64">
        <f>G25*VLOOKUP(G$11,Rates!A:I,9,FALSE)+J25*VLOOKUP(J$11,Rates!A:I,9,FALSE)+O25*VLOOKUP(O$14,Rates!A:I,9,FALSE)+M25*VLOOKUP(M$14,Rates!A:I,9,FALSE)+R25*VLOOKUP(R$11,Rates!A:I,9,FALSE)+U25*VLOOKUP(U$11,Rates!A:I,9,FALSE)</f>
        <v>0</v>
      </c>
      <c r="AI25" s="41"/>
    </row>
    <row r="26" spans="2:39" ht="3.75" customHeight="1" x14ac:dyDescent="0.35">
      <c r="B26" s="41"/>
      <c r="C26" s="41"/>
      <c r="D26" s="41"/>
      <c r="E26" s="42"/>
      <c r="F26" s="48"/>
      <c r="G26" s="51"/>
      <c r="H26" s="52"/>
      <c r="I26" s="48"/>
      <c r="J26" s="51"/>
      <c r="K26" s="52"/>
      <c r="L26" s="53"/>
      <c r="M26" s="52"/>
      <c r="N26" s="52"/>
      <c r="O26" s="51"/>
      <c r="P26" s="58"/>
      <c r="Q26" s="53"/>
      <c r="R26" s="51"/>
      <c r="S26" s="52"/>
      <c r="T26" s="53"/>
      <c r="U26" s="51"/>
      <c r="V26" s="52"/>
      <c r="W26" s="54"/>
      <c r="Y26" s="42"/>
      <c r="Z26" s="65"/>
      <c r="AA26" s="42"/>
      <c r="AC26" s="13"/>
      <c r="AD26" s="17"/>
      <c r="AE26" s="13"/>
      <c r="AG26" s="42"/>
      <c r="AH26" s="65"/>
      <c r="AI26" s="42"/>
    </row>
    <row r="27" spans="2:39" ht="13.9" x14ac:dyDescent="0.35">
      <c r="B27" s="41"/>
      <c r="C27" s="41"/>
      <c r="D27" s="66" t="s">
        <v>66</v>
      </c>
      <c r="E27" s="42"/>
      <c r="F27" s="48"/>
      <c r="G27" s="40">
        <v>0</v>
      </c>
      <c r="H27" s="56">
        <f>G27*VLOOKUP(G$11,Rates!A:I,VLOOKUP($K$3,Lookups!A:E,3,FALSE),FALSE)</f>
        <v>0</v>
      </c>
      <c r="I27" s="48"/>
      <c r="J27" s="40">
        <v>0</v>
      </c>
      <c r="K27" s="56">
        <f>J27*VLOOKUP(J$11,Rates!A:I,VLOOKUP($K$3,Lookups!A:E,3,FALSE),FALSE)</f>
        <v>0</v>
      </c>
      <c r="L27" s="57"/>
      <c r="M27" s="40">
        <v>0</v>
      </c>
      <c r="N27" s="58"/>
      <c r="O27" s="40">
        <v>0</v>
      </c>
      <c r="P27" s="56">
        <f>O27*VLOOKUP(O$14,Rates!A:I,VLOOKUP($K$3,Lookups!A:E,3,FALSE),FALSE) +M27*VLOOKUP(M$14,Rates!A:I,VLOOKUP($K$3,Lookups!A:E,3,FALSE),FALSE)</f>
        <v>0</v>
      </c>
      <c r="Q27" s="57"/>
      <c r="R27" s="40">
        <v>0</v>
      </c>
      <c r="S27" s="56">
        <f>R27*VLOOKUP(R$11,Rates!A:I,VLOOKUP($K$3,Lookups!A:E,3,FALSE),FALSE)</f>
        <v>0</v>
      </c>
      <c r="T27" s="57"/>
      <c r="U27" s="40">
        <v>0</v>
      </c>
      <c r="V27" s="56">
        <f>U27*VLOOKUP(U$11,Rates!A:I,VLOOKUP($K$3,Lookups!A:E,3,FALSE),FALSE)</f>
        <v>0</v>
      </c>
      <c r="W27" s="48"/>
      <c r="Y27" s="42"/>
      <c r="Z27" s="64">
        <f>G27*VLOOKUP(G$11,Rates!A:I,7,FALSE)+J27*VLOOKUP(J$11,Rates!A:I,7,FALSE)+O27*VLOOKUP(O$14,Rates!A:I,7,FALSE)+M27*VLOOKUP(M$14,Rates!A:I,7,FALSE)+R27*VLOOKUP(R$11,Rates!A:I,7,FALSE)+U27*VLOOKUP(U$11,Rates!A:I,7,FALSE)</f>
        <v>0</v>
      </c>
      <c r="AA27" s="41"/>
      <c r="AC27" s="13"/>
      <c r="AD27" s="36">
        <f>G27*VLOOKUP(G$11,Rates!A:I,8,FALSE)+J27*VLOOKUP(J$11,Rates!A:I,8,FALSE)+O27*VLOOKUP(O$14,Rates!A:I,8,FALSE)+M27*VLOOKUP(M$14,Rates!A:I,8,FALSE)+R27*VLOOKUP(R$11,Rates!A:I,8,FALSE)+U27*VLOOKUP(U$11,Rates!A:I,8,FALSE)</f>
        <v>0</v>
      </c>
      <c r="AE27" s="16"/>
      <c r="AG27" s="42"/>
      <c r="AH27" s="64">
        <f>G27*VLOOKUP(G$11,Rates!A:I,9,FALSE)+J27*VLOOKUP(J$11,Rates!A:I,9,FALSE)+O27*VLOOKUP(O$14,Rates!A:I,9,FALSE)+M27*VLOOKUP(M$14,Rates!A:I,9,FALSE)+R27*VLOOKUP(R$11,Rates!A:I,9,FALSE)+U27*VLOOKUP(U$11,Rates!A:I,9,FALSE)</f>
        <v>0</v>
      </c>
      <c r="AI27" s="41"/>
    </row>
    <row r="28" spans="2:39" ht="3.75" customHeight="1" x14ac:dyDescent="0.35">
      <c r="B28" s="41"/>
      <c r="C28" s="41"/>
      <c r="D28" s="41"/>
      <c r="E28" s="42"/>
      <c r="F28" s="48"/>
      <c r="G28" s="51"/>
      <c r="H28" s="52"/>
      <c r="I28" s="48"/>
      <c r="J28" s="51"/>
      <c r="K28" s="52"/>
      <c r="L28" s="53"/>
      <c r="M28" s="52"/>
      <c r="N28" s="52"/>
      <c r="O28" s="51"/>
      <c r="P28" s="58"/>
      <c r="Q28" s="53"/>
      <c r="R28" s="51"/>
      <c r="S28" s="52"/>
      <c r="T28" s="53"/>
      <c r="U28" s="51"/>
      <c r="V28" s="52"/>
      <c r="W28" s="54"/>
      <c r="Y28" s="42"/>
      <c r="Z28" s="65"/>
      <c r="AA28" s="42"/>
      <c r="AC28" s="13"/>
      <c r="AD28" s="17"/>
      <c r="AE28" s="13"/>
      <c r="AG28" s="42"/>
      <c r="AH28" s="65"/>
      <c r="AI28" s="42"/>
    </row>
    <row r="29" spans="2:39" ht="13.9" x14ac:dyDescent="0.35">
      <c r="B29" s="41"/>
      <c r="C29" s="41"/>
      <c r="D29" s="66" t="s">
        <v>66</v>
      </c>
      <c r="E29" s="42"/>
      <c r="F29" s="48"/>
      <c r="G29" s="40">
        <v>0</v>
      </c>
      <c r="H29" s="56">
        <f>G29*VLOOKUP(G$11,Rates!A:I,VLOOKUP($K$3,Lookups!A:E,3,FALSE),FALSE)</f>
        <v>0</v>
      </c>
      <c r="I29" s="48"/>
      <c r="J29" s="40">
        <v>0</v>
      </c>
      <c r="K29" s="56">
        <f>J29*VLOOKUP(J$11,Rates!A:I,VLOOKUP($K$3,Lookups!A:E,3,FALSE),FALSE)</f>
        <v>0</v>
      </c>
      <c r="L29" s="57"/>
      <c r="M29" s="40">
        <v>0</v>
      </c>
      <c r="N29" s="58"/>
      <c r="O29" s="40">
        <v>0</v>
      </c>
      <c r="P29" s="56">
        <f>O29*VLOOKUP(O$14,Rates!A:I,VLOOKUP($K$3,Lookups!A:E,3,FALSE),FALSE) +M29*VLOOKUP(M$14,Rates!A:I,VLOOKUP($K$3,Lookups!A:E,3,FALSE),FALSE)</f>
        <v>0</v>
      </c>
      <c r="Q29" s="57"/>
      <c r="R29" s="40">
        <v>0</v>
      </c>
      <c r="S29" s="56">
        <f>R29*VLOOKUP(R$11,Rates!A:I,VLOOKUP($K$3,Lookups!A:E,3,FALSE),FALSE)</f>
        <v>0</v>
      </c>
      <c r="T29" s="57"/>
      <c r="U29" s="40">
        <v>0</v>
      </c>
      <c r="V29" s="56">
        <f>U29*VLOOKUP(U$11,Rates!A:I,VLOOKUP($K$3,Lookups!A:E,3,FALSE),FALSE)</f>
        <v>0</v>
      </c>
      <c r="W29" s="48"/>
      <c r="Y29" s="42"/>
      <c r="Z29" s="64">
        <f>G29*VLOOKUP(G$11,Rates!A:I,7,FALSE)+J29*VLOOKUP(J$11,Rates!A:I,7,FALSE)+O29*VLOOKUP(O$14,Rates!A:I,7,FALSE)+M29*VLOOKUP(M$14,Rates!A:I,7,FALSE)+R29*VLOOKUP(R$11,Rates!A:I,7,FALSE)+U29*VLOOKUP(U$11,Rates!A:I,7,FALSE)</f>
        <v>0</v>
      </c>
      <c r="AA29" s="41"/>
      <c r="AC29" s="13"/>
      <c r="AD29" s="36">
        <f>G29*VLOOKUP(G$11,Rates!A:I,8,FALSE)+J29*VLOOKUP(J$11,Rates!A:I,8,FALSE)+O29*VLOOKUP(O$14,Rates!A:I,8,FALSE)+M29*VLOOKUP(M$14,Rates!A:I,8,FALSE)+R29*VLOOKUP(R$11,Rates!A:I,8,FALSE)+U29*VLOOKUP(U$11,Rates!A:I,8,FALSE)</f>
        <v>0</v>
      </c>
      <c r="AE29" s="16"/>
      <c r="AG29" s="42"/>
      <c r="AH29" s="64">
        <f>G29*VLOOKUP(G$11,Rates!A:I,9,FALSE)+J29*VLOOKUP(J$11,Rates!A:I,9,FALSE)+O29*VLOOKUP(O$14,Rates!A:I,9,FALSE)+M29*VLOOKUP(M$14,Rates!A:I,9,FALSE)+R29*VLOOKUP(R$11,Rates!A:I,9,FALSE)+U29*VLOOKUP(U$11,Rates!A:I,9,FALSE)</f>
        <v>0</v>
      </c>
      <c r="AI29" s="41"/>
    </row>
    <row r="30" spans="2:39" ht="3.75" customHeight="1" x14ac:dyDescent="0.35">
      <c r="B30" s="41"/>
      <c r="C30" s="41"/>
      <c r="D30" s="41"/>
      <c r="E30" s="42"/>
      <c r="F30" s="48"/>
      <c r="G30" s="51"/>
      <c r="H30" s="52"/>
      <c r="I30" s="48"/>
      <c r="J30" s="51"/>
      <c r="K30" s="52"/>
      <c r="L30" s="53"/>
      <c r="M30" s="52"/>
      <c r="N30" s="52"/>
      <c r="O30" s="51"/>
      <c r="P30" s="58"/>
      <c r="Q30" s="53"/>
      <c r="R30" s="51"/>
      <c r="S30" s="52"/>
      <c r="T30" s="53"/>
      <c r="U30" s="51"/>
      <c r="V30" s="52"/>
      <c r="W30" s="54"/>
      <c r="Y30" s="42"/>
      <c r="Z30" s="65"/>
      <c r="AA30" s="42"/>
      <c r="AC30" s="13"/>
      <c r="AD30" s="17"/>
      <c r="AE30" s="13"/>
      <c r="AG30" s="42"/>
      <c r="AH30" s="65"/>
      <c r="AI30" s="42"/>
    </row>
    <row r="31" spans="2:39" ht="13.9" x14ac:dyDescent="0.35">
      <c r="B31" s="41"/>
      <c r="C31" s="41"/>
      <c r="D31" s="66" t="s">
        <v>57</v>
      </c>
      <c r="E31" s="42"/>
      <c r="F31" s="48"/>
      <c r="G31" s="40">
        <v>0</v>
      </c>
      <c r="H31" s="56">
        <f>G31*VLOOKUP(G$11,Rates!A:I,VLOOKUP($K$3,Lookups!A:E,3,FALSE),FALSE)</f>
        <v>0</v>
      </c>
      <c r="I31" s="48"/>
      <c r="J31" s="40">
        <v>0</v>
      </c>
      <c r="K31" s="56">
        <f>J31*VLOOKUP(J$11,Rates!A:I,VLOOKUP($K$3,Lookups!A:E,3,FALSE),FALSE)</f>
        <v>0</v>
      </c>
      <c r="L31" s="57"/>
      <c r="M31" s="40">
        <v>0</v>
      </c>
      <c r="N31" s="58"/>
      <c r="O31" s="40">
        <v>0</v>
      </c>
      <c r="P31" s="56">
        <f>O31*VLOOKUP(O$14,Rates!A:I,VLOOKUP($K$3,Lookups!A:E,3,FALSE),FALSE) +M31*VLOOKUP(M$14,Rates!A:I,VLOOKUP($K$3,Lookups!A:E,3,FALSE),FALSE)</f>
        <v>0</v>
      </c>
      <c r="Q31" s="57"/>
      <c r="R31" s="40">
        <v>0</v>
      </c>
      <c r="S31" s="56">
        <f>R31*VLOOKUP(R$11,Rates!A:I,VLOOKUP($K$3,Lookups!A:E,3,FALSE),FALSE)</f>
        <v>0</v>
      </c>
      <c r="T31" s="57"/>
      <c r="U31" s="40">
        <v>0</v>
      </c>
      <c r="V31" s="56">
        <f>U31*VLOOKUP(U$11,Rates!A:I,VLOOKUP($K$3,Lookups!A:E,3,FALSE),FALSE)</f>
        <v>0</v>
      </c>
      <c r="W31" s="48"/>
      <c r="Y31" s="42"/>
      <c r="Z31" s="64">
        <f>G31*VLOOKUP(G$11,Rates!A:I,7,FALSE)+J31*VLOOKUP(J$11,Rates!A:I,7,FALSE)+O31*VLOOKUP(O$14,Rates!A:I,7,FALSE)+M31*VLOOKUP(M$14,Rates!A:I,7,FALSE)+R31*VLOOKUP(R$11,Rates!A:I,7,FALSE)+U31*VLOOKUP(U$11,Rates!A:I,7,FALSE)</f>
        <v>0</v>
      </c>
      <c r="AA31" s="41"/>
      <c r="AC31" s="13"/>
      <c r="AD31" s="36">
        <f>G31*VLOOKUP(G$11,Rates!A:I,8,FALSE)+J31*VLOOKUP(J$11,Rates!A:I,8,FALSE)+O31*VLOOKUP(O$14,Rates!A:I,8,FALSE)+M31*VLOOKUP(M$14,Rates!A:I,8,FALSE)+R31*VLOOKUP(R$11,Rates!A:I,8,FALSE)+U31*VLOOKUP(U$11,Rates!A:I,8,FALSE)</f>
        <v>0</v>
      </c>
      <c r="AE31" s="16"/>
      <c r="AG31" s="42"/>
      <c r="AH31" s="64">
        <f>G31*VLOOKUP(G$11,Rates!A:I,9,FALSE)+J31*VLOOKUP(J$11,Rates!A:I,9,FALSE)+O31*VLOOKUP(O$14,Rates!A:I,9,FALSE)+M31*VLOOKUP(M$14,Rates!A:I,9,FALSE)+R31*VLOOKUP(R$11,Rates!A:I,9,FALSE)+U31*VLOOKUP(U$11,Rates!A:I,9,FALSE)</f>
        <v>0</v>
      </c>
      <c r="AI31" s="41"/>
    </row>
    <row r="32" spans="2:39" ht="3.75" customHeight="1" x14ac:dyDescent="0.35">
      <c r="B32" s="41"/>
      <c r="C32" s="41"/>
      <c r="D32" s="41"/>
      <c r="E32" s="42"/>
      <c r="F32" s="48"/>
      <c r="G32" s="51"/>
      <c r="H32" s="52"/>
      <c r="I32" s="48"/>
      <c r="J32" s="51"/>
      <c r="K32" s="52"/>
      <c r="L32" s="53"/>
      <c r="M32" s="52"/>
      <c r="N32" s="52"/>
      <c r="O32" s="51"/>
      <c r="P32" s="58"/>
      <c r="Q32" s="53"/>
      <c r="R32" s="51"/>
      <c r="S32" s="52"/>
      <c r="T32" s="53"/>
      <c r="U32" s="51"/>
      <c r="V32" s="52"/>
      <c r="W32" s="54"/>
      <c r="Y32" s="42"/>
      <c r="Z32" s="65"/>
      <c r="AA32" s="42"/>
      <c r="AC32" s="13"/>
      <c r="AD32" s="17"/>
      <c r="AE32" s="13"/>
      <c r="AG32" s="42"/>
      <c r="AH32" s="65"/>
      <c r="AI32" s="42"/>
    </row>
    <row r="33" spans="2:38" ht="13.9" x14ac:dyDescent="0.35">
      <c r="B33" s="41"/>
      <c r="C33" s="41"/>
      <c r="D33" s="66" t="s">
        <v>58</v>
      </c>
      <c r="E33" s="42"/>
      <c r="F33" s="48"/>
      <c r="G33" s="40">
        <v>0</v>
      </c>
      <c r="H33" s="56">
        <f>G33*VLOOKUP(G$11,Rates!A:I,VLOOKUP($K$3,Lookups!A:E,3,FALSE),FALSE)</f>
        <v>0</v>
      </c>
      <c r="I33" s="48"/>
      <c r="J33" s="40">
        <v>0</v>
      </c>
      <c r="K33" s="56">
        <f>J33*VLOOKUP(J$11,Rates!A:I,VLOOKUP($K$3,Lookups!A:E,3,FALSE),FALSE)</f>
        <v>0</v>
      </c>
      <c r="L33" s="57"/>
      <c r="M33" s="40">
        <v>0</v>
      </c>
      <c r="N33" s="58"/>
      <c r="O33" s="40">
        <v>0</v>
      </c>
      <c r="P33" s="56">
        <f>O33*VLOOKUP(O$14,Rates!A:I,VLOOKUP($K$3,Lookups!A:E,3,FALSE),FALSE) +M33*VLOOKUP(M$14,Rates!A:I,VLOOKUP($K$3,Lookups!A:E,3,FALSE),FALSE)</f>
        <v>0</v>
      </c>
      <c r="Q33" s="57"/>
      <c r="R33" s="40">
        <v>0</v>
      </c>
      <c r="S33" s="56">
        <f>R33*VLOOKUP(R$11,Rates!A:I,VLOOKUP($K$3,Lookups!A:E,3,FALSE),FALSE)</f>
        <v>0</v>
      </c>
      <c r="T33" s="57"/>
      <c r="U33" s="40">
        <v>0</v>
      </c>
      <c r="V33" s="56">
        <f>U33*VLOOKUP(U$11,Rates!A:I,VLOOKUP($K$3,Lookups!A:E,3,FALSE),FALSE)</f>
        <v>0</v>
      </c>
      <c r="W33" s="48"/>
      <c r="Y33" s="42"/>
      <c r="Z33" s="64">
        <f>G33*VLOOKUP(G$11,Rates!A:I,7,FALSE)+J33*VLOOKUP(J$11,Rates!A:I,7,FALSE)+O33*VLOOKUP(O$14,Rates!A:I,7,FALSE)+M33*VLOOKUP(M$14,Rates!A:I,7,FALSE)+R33*VLOOKUP(R$11,Rates!A:I,7,FALSE)+U33*VLOOKUP(U$11,Rates!A:I,7,FALSE)</f>
        <v>0</v>
      </c>
      <c r="AA33" s="41"/>
      <c r="AC33" s="13"/>
      <c r="AD33" s="36">
        <f>G33*VLOOKUP(G$11,Rates!A:I,8,FALSE)+J33*VLOOKUP(J$11,Rates!A:I,8,FALSE)+O33*VLOOKUP(O$14,Rates!A:I,8,FALSE)+M33*VLOOKUP(M$14,Rates!A:I,8,FALSE)+R33*VLOOKUP(R$11,Rates!A:I,8,FALSE)+U33*VLOOKUP(U$11,Rates!A:I,8,FALSE)</f>
        <v>0</v>
      </c>
      <c r="AE33" s="16"/>
      <c r="AG33" s="42"/>
      <c r="AH33" s="64">
        <f>G33*VLOOKUP(G$11,Rates!A:I,9,FALSE)+J33*VLOOKUP(J$11,Rates!A:I,9,FALSE)+O33*VLOOKUP(O$14,Rates!A:I,9,FALSE)+M33*VLOOKUP(M$14,Rates!A:I,9,FALSE)+R33*VLOOKUP(R$11,Rates!A:I,9,FALSE)+U33*VLOOKUP(U$11,Rates!A:I,9,FALSE)</f>
        <v>0</v>
      </c>
      <c r="AI33" s="41"/>
    </row>
    <row r="34" spans="2:38" ht="3.75" customHeight="1" x14ac:dyDescent="0.35">
      <c r="B34" s="41"/>
      <c r="C34" s="41"/>
      <c r="D34" s="41"/>
      <c r="E34" s="42"/>
      <c r="F34" s="48"/>
      <c r="G34" s="51"/>
      <c r="H34" s="52"/>
      <c r="I34" s="48"/>
      <c r="J34" s="51"/>
      <c r="K34" s="52"/>
      <c r="L34" s="53"/>
      <c r="M34" s="52"/>
      <c r="N34" s="52"/>
      <c r="O34" s="51"/>
      <c r="P34" s="58"/>
      <c r="Q34" s="53"/>
      <c r="R34" s="51"/>
      <c r="S34" s="52"/>
      <c r="T34" s="53"/>
      <c r="U34" s="51"/>
      <c r="V34" s="52"/>
      <c r="W34" s="54"/>
      <c r="Y34" s="42"/>
      <c r="Z34" s="65"/>
      <c r="AA34" s="42"/>
      <c r="AC34" s="13"/>
      <c r="AD34" s="17"/>
      <c r="AE34" s="13"/>
      <c r="AG34" s="42"/>
      <c r="AH34" s="65"/>
      <c r="AI34" s="42"/>
    </row>
    <row r="35" spans="2:38" ht="13.9" x14ac:dyDescent="0.35">
      <c r="B35" s="41"/>
      <c r="C35" s="41"/>
      <c r="D35" s="66" t="s">
        <v>59</v>
      </c>
      <c r="E35" s="42"/>
      <c r="F35" s="48"/>
      <c r="G35" s="40">
        <v>0</v>
      </c>
      <c r="H35" s="56">
        <f>G35*VLOOKUP(G$11,Rates!A:I,VLOOKUP($K$3,Lookups!A:E,3,FALSE),FALSE)</f>
        <v>0</v>
      </c>
      <c r="I35" s="48"/>
      <c r="J35" s="40">
        <v>0</v>
      </c>
      <c r="K35" s="56">
        <f>J35*VLOOKUP(J$11,Rates!A:I,VLOOKUP($K$3,Lookups!A:E,3,FALSE),FALSE)</f>
        <v>0</v>
      </c>
      <c r="L35" s="57"/>
      <c r="M35" s="40">
        <v>0</v>
      </c>
      <c r="N35" s="58"/>
      <c r="O35" s="40">
        <v>0</v>
      </c>
      <c r="P35" s="56">
        <f>O35*VLOOKUP(O$14,Rates!A:I,VLOOKUP($K$3,Lookups!A:E,3,FALSE),FALSE) +M35*VLOOKUP(M$14,Rates!A:I,VLOOKUP($K$3,Lookups!A:E,3,FALSE),FALSE)</f>
        <v>0</v>
      </c>
      <c r="Q35" s="57"/>
      <c r="R35" s="40">
        <v>0</v>
      </c>
      <c r="S35" s="56">
        <f>R35*VLOOKUP(R$11,Rates!A:I,VLOOKUP($K$3,Lookups!A:E,3,FALSE),FALSE)</f>
        <v>0</v>
      </c>
      <c r="T35" s="57"/>
      <c r="U35" s="40">
        <v>0</v>
      </c>
      <c r="V35" s="56">
        <f>U35*VLOOKUP(U$11,Rates!A:I,VLOOKUP($K$3,Lookups!A:E,3,FALSE),FALSE)</f>
        <v>0</v>
      </c>
      <c r="W35" s="48"/>
      <c r="Y35" s="42"/>
      <c r="Z35" s="64">
        <f>G35*VLOOKUP(G$11,Rates!A:I,7,FALSE)+J35*VLOOKUP(J$11,Rates!A:I,7,FALSE)+O35*VLOOKUP(O$14,Rates!A:I,7,FALSE)+M35*VLOOKUP(M$14,Rates!A:I,7,FALSE)+R35*VLOOKUP(R$11,Rates!A:I,7,FALSE)+U35*VLOOKUP(U$11,Rates!A:I,7,FALSE)</f>
        <v>0</v>
      </c>
      <c r="AA35" s="41"/>
      <c r="AC35" s="13"/>
      <c r="AD35" s="36">
        <f>G35*VLOOKUP(G$11,Rates!A:I,8,FALSE)+J35*VLOOKUP(J$11,Rates!A:I,8,FALSE)+O35*VLOOKUP(O$14,Rates!A:I,8,FALSE)+M35*VLOOKUP(M$14,Rates!A:I,8,FALSE)+R35*VLOOKUP(R$11,Rates!A:I,8,FALSE)+U35*VLOOKUP(U$11,Rates!A:I,8,FALSE)</f>
        <v>0</v>
      </c>
      <c r="AE35" s="16"/>
      <c r="AG35" s="42"/>
      <c r="AH35" s="64">
        <f>G35*VLOOKUP(G$11,Rates!A:I,9,FALSE)+J35*VLOOKUP(J$11,Rates!A:I,9,FALSE)+O35*VLOOKUP(O$14,Rates!A:I,9,FALSE)+M35*VLOOKUP(M$14,Rates!A:I,9,FALSE)+R35*VLOOKUP(R$11,Rates!A:I,9,FALSE)+U35*VLOOKUP(U$11,Rates!A:I,9,FALSE)</f>
        <v>0</v>
      </c>
      <c r="AI35" s="41"/>
      <c r="AL35" s="22"/>
    </row>
    <row r="36" spans="2:38" ht="3.75" customHeight="1" x14ac:dyDescent="0.35">
      <c r="B36" s="41"/>
      <c r="C36" s="41"/>
      <c r="D36" s="41"/>
      <c r="E36" s="42"/>
      <c r="F36" s="48"/>
      <c r="G36" s="51"/>
      <c r="H36" s="52"/>
      <c r="I36" s="48"/>
      <c r="J36" s="51"/>
      <c r="K36" s="52"/>
      <c r="L36" s="53"/>
      <c r="M36" s="52"/>
      <c r="N36" s="52"/>
      <c r="O36" s="51"/>
      <c r="P36" s="58"/>
      <c r="Q36" s="53"/>
      <c r="R36" s="51"/>
      <c r="S36" s="52"/>
      <c r="T36" s="53"/>
      <c r="U36" s="51"/>
      <c r="V36" s="52"/>
      <c r="W36" s="54"/>
      <c r="Y36" s="42"/>
      <c r="Z36" s="65"/>
      <c r="AA36" s="42"/>
      <c r="AC36" s="13"/>
      <c r="AD36" s="17"/>
      <c r="AE36" s="13"/>
      <c r="AG36" s="42"/>
      <c r="AH36" s="65"/>
      <c r="AI36" s="42"/>
    </row>
    <row r="37" spans="2:38" ht="13.9" x14ac:dyDescent="0.35">
      <c r="B37" s="41"/>
      <c r="C37" s="41"/>
      <c r="D37" s="66" t="s">
        <v>67</v>
      </c>
      <c r="E37" s="42"/>
      <c r="F37" s="48"/>
      <c r="G37" s="40">
        <v>0</v>
      </c>
      <c r="H37" s="56">
        <f>G37*VLOOKUP(G$11,Rates!A:I,VLOOKUP($K$3,Lookups!A:E,3,FALSE),FALSE)</f>
        <v>0</v>
      </c>
      <c r="I37" s="48"/>
      <c r="J37" s="40">
        <v>0</v>
      </c>
      <c r="K37" s="56">
        <f>J37*VLOOKUP(J$11,Rates!A:I,VLOOKUP($K$3,Lookups!A:E,3,FALSE),FALSE)</f>
        <v>0</v>
      </c>
      <c r="L37" s="57"/>
      <c r="M37" s="40">
        <v>0</v>
      </c>
      <c r="N37" s="58"/>
      <c r="O37" s="40">
        <v>0</v>
      </c>
      <c r="P37" s="56">
        <f>O37*VLOOKUP(O$14,Rates!A:I,VLOOKUP($K$3,Lookups!A:E,3,FALSE),FALSE) +M37*VLOOKUP(M$14,Rates!A:I,VLOOKUP($K$3,Lookups!A:E,3,FALSE),FALSE)</f>
        <v>0</v>
      </c>
      <c r="Q37" s="57"/>
      <c r="R37" s="40">
        <v>0</v>
      </c>
      <c r="S37" s="56">
        <f>R37*VLOOKUP(R$11,Rates!A:I,VLOOKUP($K$3,Lookups!A:E,3,FALSE),FALSE)</f>
        <v>0</v>
      </c>
      <c r="T37" s="57"/>
      <c r="U37" s="40">
        <v>0</v>
      </c>
      <c r="V37" s="56">
        <f>U37*VLOOKUP(U$11,Rates!A:I,VLOOKUP($K$3,Lookups!A:E,3,FALSE),FALSE)</f>
        <v>0</v>
      </c>
      <c r="W37" s="48"/>
      <c r="Y37" s="42"/>
      <c r="Z37" s="64">
        <f>G37*VLOOKUP(G$11,Rates!A:I,7,FALSE)+J37*VLOOKUP(J$11,Rates!A:I,7,FALSE)+O37*VLOOKUP(O$14,Rates!A:I,7,FALSE)+M37*VLOOKUP(M$14,Rates!A:I,7,FALSE)+R37*VLOOKUP(R$11,Rates!A:I,7,FALSE)+U37*VLOOKUP(U$11,Rates!A:I,7,FALSE)</f>
        <v>0</v>
      </c>
      <c r="AA37" s="41"/>
      <c r="AC37" s="13"/>
      <c r="AD37" s="36">
        <f>G37*VLOOKUP(G$11,Rates!A:I,8,FALSE)+J37*VLOOKUP(J$11,Rates!A:I,8,FALSE)+O37*VLOOKUP(O$14,Rates!A:I,8,FALSE)+M37*VLOOKUP(M$14,Rates!A:I,8,FALSE)+R37*VLOOKUP(R$11,Rates!A:I,8,FALSE)+U37*VLOOKUP(U$11,Rates!A:I,8,FALSE)</f>
        <v>0</v>
      </c>
      <c r="AE37" s="16"/>
      <c r="AG37" s="42"/>
      <c r="AH37" s="64">
        <f>G37*VLOOKUP(G$11,Rates!A:I,9,FALSE)+J37*VLOOKUP(J$11,Rates!A:I,9,FALSE)+O37*VLOOKUP(O$14,Rates!A:I,9,FALSE)+M37*VLOOKUP(M$14,Rates!A:I,9,FALSE)+R37*VLOOKUP(R$11,Rates!A:I,9,FALSE)+U37*VLOOKUP(U$11,Rates!A:I,9,FALSE)</f>
        <v>0</v>
      </c>
      <c r="AI37" s="41"/>
    </row>
    <row r="38" spans="2:38" ht="3.75" customHeight="1" thickBot="1" x14ac:dyDescent="0.4"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58"/>
      <c r="Q38" s="41"/>
      <c r="R38" s="41"/>
      <c r="S38" s="41"/>
      <c r="T38" s="41"/>
      <c r="U38" s="41"/>
      <c r="V38" s="41"/>
      <c r="W38" s="41"/>
      <c r="Y38" s="42"/>
      <c r="Z38" s="42"/>
      <c r="AA38" s="42"/>
      <c r="AC38" s="13"/>
      <c r="AD38" s="13"/>
      <c r="AE38" s="13"/>
      <c r="AG38" s="42"/>
      <c r="AH38" s="42"/>
      <c r="AI38" s="42"/>
    </row>
    <row r="39" spans="2:38" ht="13.15" x14ac:dyDescent="0.35">
      <c r="B39" s="41"/>
      <c r="C39" s="41"/>
      <c r="D39" s="41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Y39" s="79"/>
      <c r="Z39" s="80">
        <f>SUM(Z15:Z38)</f>
        <v>0</v>
      </c>
      <c r="AA39" s="41"/>
      <c r="AC39" s="18"/>
      <c r="AD39" s="37">
        <f>SUM(AD15:AD38)</f>
        <v>0</v>
      </c>
      <c r="AE39" s="16"/>
      <c r="AG39" s="79"/>
      <c r="AH39" s="80">
        <f>SUM(AH15:AH38)</f>
        <v>0</v>
      </c>
      <c r="AI39" s="41"/>
    </row>
    <row r="40" spans="2:38" ht="13.15" x14ac:dyDescent="0.35">
      <c r="B40" s="41"/>
      <c r="C40" s="41"/>
      <c r="D40" s="41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Y40" s="79"/>
      <c r="Z40" s="81"/>
      <c r="AA40" s="41"/>
      <c r="AC40" s="18"/>
      <c r="AD40" s="19"/>
      <c r="AE40" s="16"/>
      <c r="AG40" s="79"/>
      <c r="AH40" s="81"/>
      <c r="AI40" s="41"/>
    </row>
    <row r="41" spans="2:38" ht="13.15" x14ac:dyDescent="0.35">
      <c r="B41" s="41"/>
      <c r="C41" s="41"/>
      <c r="D41" s="41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Y41" s="79"/>
      <c r="Z41" s="81"/>
      <c r="AA41" s="41"/>
      <c r="AC41" s="18"/>
      <c r="AD41" s="19"/>
      <c r="AE41" s="16"/>
      <c r="AG41" s="79"/>
      <c r="AH41" s="81"/>
      <c r="AI41" s="41"/>
    </row>
    <row r="42" spans="2:38" ht="13.15" x14ac:dyDescent="0.35">
      <c r="B42" s="41"/>
      <c r="C42" s="46" t="s">
        <v>3</v>
      </c>
      <c r="D42" s="46"/>
      <c r="E42" s="42"/>
      <c r="F42" s="42"/>
      <c r="G42" s="59" t="s">
        <v>17</v>
      </c>
      <c r="H42" s="46" t="s">
        <v>18</v>
      </c>
      <c r="I42" s="46"/>
      <c r="J42" s="42"/>
      <c r="K42" s="42"/>
      <c r="L42" s="42"/>
      <c r="M42" s="42"/>
      <c r="N42" s="42"/>
      <c r="O42" s="42"/>
      <c r="P42" s="59" t="s">
        <v>30</v>
      </c>
      <c r="Q42" s="59"/>
      <c r="R42" s="42"/>
      <c r="S42" s="42"/>
      <c r="T42" s="42"/>
      <c r="U42" s="42"/>
      <c r="V42" s="42"/>
      <c r="W42" s="42"/>
      <c r="Y42" s="42"/>
      <c r="Z42" s="59" t="s">
        <v>3</v>
      </c>
      <c r="AA42" s="41"/>
      <c r="AC42" s="13"/>
      <c r="AD42" s="21" t="s">
        <v>3</v>
      </c>
      <c r="AE42" s="16"/>
      <c r="AG42" s="42"/>
      <c r="AH42" s="59" t="s">
        <v>3</v>
      </c>
      <c r="AI42" s="41"/>
    </row>
    <row r="43" spans="2:38" ht="3.75" customHeight="1" x14ac:dyDescent="0.35"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Y43" s="42"/>
      <c r="Z43" s="42"/>
      <c r="AA43" s="42"/>
      <c r="AC43" s="13"/>
      <c r="AD43" s="13"/>
      <c r="AE43" s="13"/>
      <c r="AG43" s="42"/>
      <c r="AH43" s="42"/>
      <c r="AI43" s="42"/>
    </row>
    <row r="44" spans="2:38" ht="13.15" x14ac:dyDescent="0.35">
      <c r="B44" s="41"/>
      <c r="C44" s="41"/>
      <c r="D44" s="41" t="s">
        <v>28</v>
      </c>
      <c r="E44" s="42"/>
      <c r="F44" s="42"/>
      <c r="G44" s="71">
        <v>0</v>
      </c>
      <c r="H44" s="41" t="str">
        <f>VLOOKUP($K$3,Lookups!A:F,6,FALSE)</f>
        <v>GB per month</v>
      </c>
      <c r="I44" s="41"/>
      <c r="J44" s="42"/>
      <c r="K44" s="42"/>
      <c r="L44" s="42"/>
      <c r="M44" s="42"/>
      <c r="N44" s="42"/>
      <c r="O44" s="83">
        <f>G44*VLOOKUP(D44,Rates!A:I,VLOOKUP($K$3,Lookups!A:E,3,FALSE),FALSE)</f>
        <v>0</v>
      </c>
      <c r="P44" s="83"/>
      <c r="Q44" s="60"/>
      <c r="R44" s="42"/>
      <c r="S44" s="42"/>
      <c r="T44" s="42"/>
      <c r="U44" s="42"/>
      <c r="V44" s="42"/>
      <c r="W44" s="42"/>
      <c r="Y44" s="42"/>
      <c r="Z44" s="64">
        <f>G44*VLOOKUP(D44,Rates!A:I,7,FALSE)</f>
        <v>0</v>
      </c>
      <c r="AA44" s="41"/>
      <c r="AC44" s="13"/>
      <c r="AD44" s="36">
        <f>G44*VLOOKUP(D44,Rates!A:I,8,FALSE)</f>
        <v>0</v>
      </c>
      <c r="AE44" s="16"/>
      <c r="AG44" s="42"/>
      <c r="AH44" s="64">
        <f>G44*VLOOKUP(D44,Rates!A:I,9,FALSE)</f>
        <v>0</v>
      </c>
      <c r="AI44" s="41"/>
    </row>
    <row r="45" spans="2:38" ht="13.15" x14ac:dyDescent="0.35">
      <c r="B45" s="41"/>
      <c r="C45" s="41"/>
      <c r="D45" s="41" t="s">
        <v>29</v>
      </c>
      <c r="E45" s="42"/>
      <c r="F45" s="42"/>
      <c r="G45" s="71">
        <v>0</v>
      </c>
      <c r="H45" s="41" t="s">
        <v>37</v>
      </c>
      <c r="I45" s="41"/>
      <c r="J45" s="42"/>
      <c r="K45" s="42"/>
      <c r="L45" s="42"/>
      <c r="M45" s="42"/>
      <c r="N45" s="42"/>
      <c r="O45" s="83">
        <f>G45*VLOOKUP(D45,Rates!A:I,VLOOKUP($K$3,Lookups!A:E,3,FALSE),FALSE)</f>
        <v>0</v>
      </c>
      <c r="P45" s="83"/>
      <c r="Q45" s="60"/>
      <c r="R45" s="42"/>
      <c r="S45" s="42"/>
      <c r="T45" s="42"/>
      <c r="U45" s="42"/>
      <c r="V45" s="42"/>
      <c r="W45" s="42"/>
      <c r="Y45" s="42"/>
      <c r="Z45" s="64">
        <f>G45*VLOOKUP(D45,Rates!A:I,7,FALSE)</f>
        <v>0</v>
      </c>
      <c r="AA45" s="41"/>
      <c r="AC45" s="13"/>
      <c r="AD45" s="36">
        <f>G45*VLOOKUP(D45,Rates!A:I,8,FALSE)</f>
        <v>0</v>
      </c>
      <c r="AE45" s="16"/>
      <c r="AG45" s="42"/>
      <c r="AH45" s="64">
        <f>G45*VLOOKUP(D45,Rates!A:I,9,FALSE)</f>
        <v>0</v>
      </c>
      <c r="AI45" s="41"/>
    </row>
    <row r="46" spans="2:38" ht="3.75" customHeight="1" thickBot="1" x14ac:dyDescent="0.4"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Y46" s="42"/>
      <c r="Z46" s="42"/>
      <c r="AA46" s="42"/>
      <c r="AC46" s="13"/>
      <c r="AD46" s="13"/>
      <c r="AE46" s="13"/>
      <c r="AG46" s="42"/>
      <c r="AH46" s="42"/>
      <c r="AI46" s="42"/>
    </row>
    <row r="47" spans="2:38" ht="13.15" x14ac:dyDescent="0.35">
      <c r="B47" s="41"/>
      <c r="C47" s="41"/>
      <c r="D47" s="41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Y47" s="42"/>
      <c r="Z47" s="80">
        <f>SUM(Z44:Z45)</f>
        <v>0</v>
      </c>
      <c r="AA47" s="41"/>
      <c r="AC47" s="13"/>
      <c r="AD47" s="37">
        <f>SUM(AD44:AD45)</f>
        <v>0</v>
      </c>
      <c r="AE47" s="16"/>
      <c r="AG47" s="42"/>
      <c r="AH47" s="80">
        <f>SUM(AH44:AH45)</f>
        <v>0</v>
      </c>
      <c r="AI47" s="41"/>
    </row>
    <row r="48" spans="2:38" ht="13.15" x14ac:dyDescent="0.35">
      <c r="B48" s="41"/>
      <c r="C48" s="41"/>
      <c r="D48" s="41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Y48" s="79"/>
      <c r="Z48" s="81"/>
      <c r="AA48" s="41"/>
      <c r="AC48" s="18"/>
      <c r="AD48" s="19"/>
      <c r="AE48" s="16"/>
      <c r="AG48" s="79"/>
      <c r="AH48" s="81"/>
      <c r="AI48" s="41"/>
    </row>
    <row r="49" spans="2:35" ht="13.15" x14ac:dyDescent="0.35">
      <c r="B49" s="41"/>
      <c r="C49" s="61" t="s">
        <v>39</v>
      </c>
      <c r="D49" s="41"/>
      <c r="E49" s="42"/>
      <c r="F49" s="42"/>
      <c r="G49" s="42"/>
      <c r="H49" s="62" t="str">
        <f>"Price "&amp;VLOOKUP($K$3,Lookups!$A:$E,5,FALSE)</f>
        <v>Price per month or part therof</v>
      </c>
      <c r="I49" s="6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Y49" s="79"/>
      <c r="Z49" s="81"/>
      <c r="AA49" s="41"/>
      <c r="AC49" s="18"/>
      <c r="AD49" s="19"/>
      <c r="AE49" s="16"/>
      <c r="AG49" s="79"/>
      <c r="AH49" s="81"/>
      <c r="AI49" s="41"/>
    </row>
    <row r="50" spans="2:35" ht="3.75" customHeight="1" x14ac:dyDescent="0.35">
      <c r="B50" s="41"/>
      <c r="C50" s="41"/>
      <c r="D50" s="41"/>
      <c r="E50" s="42"/>
      <c r="F50" s="42"/>
      <c r="G50" s="42"/>
      <c r="H50" s="62"/>
      <c r="I50" s="6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Y50" s="79"/>
      <c r="Z50" s="81"/>
      <c r="AA50" s="41"/>
      <c r="AC50" s="18"/>
      <c r="AD50" s="19"/>
      <c r="AE50" s="16"/>
      <c r="AG50" s="79"/>
      <c r="AH50" s="81"/>
      <c r="AI50" s="41"/>
    </row>
    <row r="51" spans="2:35" ht="13.15" x14ac:dyDescent="0.35">
      <c r="B51" s="41"/>
      <c r="C51" s="41"/>
      <c r="D51" s="63" t="s">
        <v>102</v>
      </c>
      <c r="E51" s="42"/>
      <c r="F51" s="42"/>
      <c r="G51" s="70">
        <v>0</v>
      </c>
      <c r="H51" s="64">
        <f>G51*VLOOKUP(Calculator!D51,Rates!$A$1:$B$180,2,FALSE)</f>
        <v>0</v>
      </c>
      <c r="I51" s="65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Y51" s="79"/>
      <c r="Z51" s="82">
        <f>G51*VLOOKUP(D51,Rates!A:I,7,FALSE)</f>
        <v>0</v>
      </c>
      <c r="AA51" s="41"/>
      <c r="AC51" s="18"/>
      <c r="AD51" s="38">
        <f>G51*VLOOKUP(D51,Rates!A:I,8,FALSE)</f>
        <v>0</v>
      </c>
      <c r="AE51" s="16"/>
      <c r="AG51" s="79"/>
      <c r="AH51" s="82">
        <f>G51*VLOOKUP(D51,Rates!A:I,9,FALSE)</f>
        <v>0</v>
      </c>
      <c r="AI51" s="41"/>
    </row>
    <row r="52" spans="2:35" ht="13.15" x14ac:dyDescent="0.35">
      <c r="B52" s="41"/>
      <c r="C52" s="41"/>
      <c r="D52" s="63" t="s">
        <v>109</v>
      </c>
      <c r="E52" s="42"/>
      <c r="F52" s="42"/>
      <c r="G52" s="70">
        <v>0</v>
      </c>
      <c r="H52" s="64">
        <f>G52*VLOOKUP(Calculator!D52,Rates!$A$1:$B$180,2,FALSE)</f>
        <v>0</v>
      </c>
      <c r="I52" s="65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Y52" s="79"/>
      <c r="Z52" s="82">
        <f>G52*VLOOKUP(D52,Rates!A:I,7,FALSE)</f>
        <v>0</v>
      </c>
      <c r="AA52" s="41"/>
      <c r="AC52" s="18"/>
      <c r="AD52" s="38">
        <f>G52*VLOOKUP(D52,Rates!A:I,8,FALSE)</f>
        <v>0</v>
      </c>
      <c r="AE52" s="16"/>
      <c r="AG52" s="79"/>
      <c r="AH52" s="82">
        <f>G52*VLOOKUP(D52,Rates!A:I,9,FALSE)</f>
        <v>0</v>
      </c>
      <c r="AI52" s="41"/>
    </row>
    <row r="53" spans="2:35" ht="13.15" x14ac:dyDescent="0.35">
      <c r="B53" s="41"/>
      <c r="C53" s="41"/>
      <c r="D53" s="63" t="s">
        <v>108</v>
      </c>
      <c r="E53" s="42"/>
      <c r="F53" s="42"/>
      <c r="G53" s="70">
        <v>0</v>
      </c>
      <c r="H53" s="64">
        <f>G53*VLOOKUP(Calculator!D53,Rates!$A$1:$B$180,2,FALSE)</f>
        <v>0</v>
      </c>
      <c r="I53" s="65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Y53" s="79"/>
      <c r="Z53" s="82">
        <f>G53*VLOOKUP(D53,Rates!A:I,7,FALSE)</f>
        <v>0</v>
      </c>
      <c r="AA53" s="41"/>
      <c r="AC53" s="18"/>
      <c r="AD53" s="38">
        <f>G53*VLOOKUP(D53,Rates!A:I,8,FALSE)</f>
        <v>0</v>
      </c>
      <c r="AE53" s="16"/>
      <c r="AG53" s="79"/>
      <c r="AH53" s="82">
        <f>G53*VLOOKUP(D53,Rates!A:I,9,FALSE)</f>
        <v>0</v>
      </c>
      <c r="AI53" s="41"/>
    </row>
    <row r="54" spans="2:35" ht="13.15" x14ac:dyDescent="0.35">
      <c r="B54" s="41"/>
      <c r="C54" s="41"/>
      <c r="D54" s="63" t="s">
        <v>103</v>
      </c>
      <c r="E54" s="42"/>
      <c r="F54" s="42"/>
      <c r="G54" s="70">
        <v>0</v>
      </c>
      <c r="H54" s="64">
        <f>G54*VLOOKUP(Calculator!D54,Rates!$A$1:$B$180,2,FALSE)</f>
        <v>0</v>
      </c>
      <c r="I54" s="65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Y54" s="79"/>
      <c r="Z54" s="82">
        <f>G54*VLOOKUP(D54,Rates!A:I,7,FALSE)</f>
        <v>0</v>
      </c>
      <c r="AA54" s="41"/>
      <c r="AC54" s="18"/>
      <c r="AD54" s="38">
        <f>G54*VLOOKUP(D54,Rates!A:I,8,FALSE)</f>
        <v>0</v>
      </c>
      <c r="AE54" s="16"/>
      <c r="AG54" s="79"/>
      <c r="AH54" s="82">
        <f>G54*VLOOKUP(D54,Rates!A:I,9,FALSE)</f>
        <v>0</v>
      </c>
      <c r="AI54" s="41"/>
    </row>
    <row r="55" spans="2:35" ht="13.15" hidden="1" x14ac:dyDescent="0.35">
      <c r="B55" s="41"/>
      <c r="C55" s="41"/>
      <c r="D55" s="63"/>
      <c r="E55" s="42"/>
      <c r="F55" s="67"/>
      <c r="G55" s="69"/>
      <c r="H55" s="65"/>
      <c r="I55" s="65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Y55" s="79"/>
      <c r="Z55" s="81"/>
      <c r="AA55" s="41"/>
      <c r="AC55" s="18"/>
      <c r="AD55" s="19"/>
      <c r="AE55" s="16"/>
      <c r="AG55" s="79"/>
      <c r="AH55" s="81"/>
      <c r="AI55" s="41"/>
    </row>
    <row r="56" spans="2:35" ht="13.15" hidden="1" x14ac:dyDescent="0.35">
      <c r="B56" s="41"/>
      <c r="C56" s="41"/>
      <c r="D56" s="63"/>
      <c r="E56" s="42"/>
      <c r="F56" s="67"/>
      <c r="G56" s="68"/>
      <c r="H56" s="65"/>
      <c r="I56" s="65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Y56" s="79"/>
      <c r="Z56" s="81"/>
      <c r="AA56" s="41"/>
      <c r="AC56" s="18"/>
      <c r="AD56" s="19"/>
      <c r="AE56" s="16"/>
      <c r="AG56" s="79"/>
      <c r="AH56" s="81"/>
      <c r="AI56" s="41"/>
    </row>
    <row r="57" spans="2:35" ht="3.75" customHeight="1" thickBot="1" x14ac:dyDescent="0.4"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Y57" s="42"/>
      <c r="Z57" s="42"/>
      <c r="AA57" s="42"/>
      <c r="AC57" s="13"/>
      <c r="AD57" s="13"/>
      <c r="AE57" s="13"/>
      <c r="AG57" s="42"/>
      <c r="AH57" s="42"/>
      <c r="AI57" s="42"/>
    </row>
    <row r="58" spans="2:35" ht="13.15" x14ac:dyDescent="0.35">
      <c r="B58" s="41"/>
      <c r="C58" s="41"/>
      <c r="D58" s="41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Y58" s="79"/>
      <c r="Z58" s="80">
        <f>SUM(Z50:Z56)</f>
        <v>0</v>
      </c>
      <c r="AA58" s="41"/>
      <c r="AC58" s="18"/>
      <c r="AD58" s="37">
        <f>SUM(AD51:AD56)</f>
        <v>0</v>
      </c>
      <c r="AE58" s="16"/>
      <c r="AG58" s="79"/>
      <c r="AH58" s="80">
        <f>SUM(AH50:AH56)</f>
        <v>0</v>
      </c>
      <c r="AI58" s="41"/>
    </row>
    <row r="59" spans="2:35" ht="13.15" x14ac:dyDescent="0.35">
      <c r="B59" s="41"/>
      <c r="C59" s="41"/>
      <c r="D59" s="41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Y59" s="79"/>
      <c r="Z59" s="81"/>
      <c r="AA59" s="41"/>
      <c r="AC59" s="18"/>
      <c r="AD59" s="19"/>
      <c r="AE59" s="16"/>
      <c r="AG59" s="79"/>
      <c r="AH59" s="81"/>
      <c r="AI59" s="41"/>
    </row>
  </sheetData>
  <sheetProtection algorithmName="SHA-512" hashValue="0RDUCF9UP4eaWqupUHg5FtEnUJjwRV2xr8TfjLYULeqO6QCgD4k5du7oEc8b4jU20BQ8YwqyuJdmoI2Wq0R/dQ==" saltValue="G43K6irfnmYqdX2XzgFoxw==" spinCount="100000" sheet="1" objects="1" scenarios="1"/>
  <mergeCells count="4">
    <mergeCell ref="O44:P44"/>
    <mergeCell ref="O45:P45"/>
    <mergeCell ref="K3:R3"/>
    <mergeCell ref="K4:R6"/>
  </mergeCells>
  <dataValidations xWindow="343" yWindow="476" count="11">
    <dataValidation type="textLength" allowBlank="1" showInputMessage="1" showErrorMessage="1" error="Enter the etx description of your sever" prompt="For easy reference enter a Name for your Server" sqref="D15 D17 D19 D21 D23 D25 D27 D29 D31 D33 D35 D37" xr:uid="{00000000-0002-0000-0000-000001000000}">
      <formula1>0</formula1>
      <formula2>1000</formula2>
    </dataValidation>
    <dataValidation type="decimal" operator="greaterThanOrEqual" allowBlank="1" showInputMessage="1" showErrorMessage="1" error="Enter a numeric value greater than 0" prompt="Enter the GB of disk required._x000a__x000a_Purchase only what you need - there is no use in paying for empty disk you don’t need - its scalable anytime!" sqref="O15 O17 O19 O21 O23 O25 O27 O29 O31 O33 O35 O37 M15 M17 M19 M21 M23 M25 M27 M29 M31 M33 M35 M37" xr:uid="{00000000-0002-0000-0000-000002000000}">
      <formula1>0</formula1>
    </dataValidation>
    <dataValidation type="list" allowBlank="1" showInputMessage="1" showErrorMessage="1" error="Enter 0 if you dont require a public IP or 1 if you do!" prompt="Select 1 if your require this server to have a fixed static public IP." sqref="R15 R17 R19 R21 R23 R25 R27 R29 R31 R33 R35 R37" xr:uid="{00000000-0002-0000-0000-000003000000}">
      <formula1>"0,1"</formula1>
    </dataValidation>
    <dataValidation type="list" allowBlank="1" showInputMessage="1" showErrorMessage="1" error="Enter 0 if you dont require a firewall or 1 if you do!" prompt="Select 1 if your require a firewall on this server." sqref="U15 U17 U19 U21 U23 U25 U27 U29 U31 U33 U35 U37" xr:uid="{00000000-0002-0000-0000-000004000000}">
      <formula1>"0,1"</formula1>
    </dataValidation>
    <dataValidation type="whole" operator="greaterThanOrEqual" allowBlank="1" showInputMessage="1" showErrorMessage="1" error="Enter a whole number greater than or equal to 0!" prompt="Select the number of these licenses you require." sqref="G51:G53 G55:G56" xr:uid="{00000000-0002-0000-0000-000005000000}">
      <formula1>0</formula1>
    </dataValidation>
    <dataValidation type="decimal" operator="greaterThanOrEqual" allowBlank="1" showInputMessage="1" showErrorMessage="1" error="Enter a numeric value greater than 0" prompt="Enter the GB of data transfer required per month._x000a__x000a_To simplify your thinking our platform requests you enter your Monthly requirement - it auto scales based upon how your payment method (On Demand, Subscription or Annual Subscription)" sqref="G44" xr:uid="{00000000-0002-0000-0000-000006000000}">
      <formula1>0</formula1>
    </dataValidation>
    <dataValidation type="list" allowBlank="1" showInputMessage="1" showErrorMessage="1" error="Enter 1 if you require a VLAN or 0 if you don't!" prompt="Select 1 if your requirea VLAN." sqref="G45" xr:uid="{00000000-0002-0000-0000-000007000000}">
      <formula1>"0,1"</formula1>
    </dataValidation>
    <dataValidation type="decimal" operator="greaterThanOrEqual" allowBlank="1" showInputMessage="1" showErrorMessage="1" error="Enter a numeric value greater than 0" prompt="Enter the single core MHz required._x000a__x000a_Purchase only what you need now - its scalable anytime _x000a_e.g 2.4GHz Quadcore processor is 2.4 x 1000 x 4 =9600 single core MHz " sqref="G15 G17 G19 G21 G23 G25 G27 G29 G31 G33 G35 G37" xr:uid="{00000000-0002-0000-0000-000008000000}">
      <formula1>0</formula1>
    </dataValidation>
    <dataValidation type="decimal" operator="greaterThanOrEqual" allowBlank="1" showInputMessage="1" showErrorMessage="1" error="Enter a numeric value greater than 0" prompt="Enter the MB of memory required in multiples of 128MB_x000a__x000a_Think what you really need - not what module is currently being sold by hardware manufacturers - its scalable anytime!" sqref="J15 J17 J19 J21 J23 J25 J27 J29 J31 J33 J35 J37" xr:uid="{00000000-0002-0000-0000-000009000000}">
      <formula1>0</formula1>
    </dataValidation>
    <dataValidation type="whole" operator="greaterThanOrEqual" allowBlank="1" showInputMessage="1" showErrorMessage="1" error="Enter a numeric value greater than or equal to 0!" prompt="Enter the number of licenses required." sqref="G54" xr:uid="{00000000-0002-0000-0000-00000A000000}">
      <formula1>0</formula1>
    </dataValidation>
    <dataValidation type="list" allowBlank="1" showInputMessage="1" showErrorMessage="1" error="Choose an option from the pull down list" prompt="Select how you want to pay" sqref="K3:N3" xr:uid="{00000000-0002-0000-0000-000000000000}">
      <formula1>PaymentType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0"/>
  <sheetViews>
    <sheetView zoomScale="85" zoomScaleNormal="85" workbookViewId="0">
      <selection activeCell="D23" sqref="D23"/>
    </sheetView>
  </sheetViews>
  <sheetFormatPr defaultRowHeight="12.75" x14ac:dyDescent="0.35"/>
  <cols>
    <col min="1" max="1" width="39.59765625" bestFit="1" customWidth="1"/>
    <col min="2" max="2" width="11.1328125" customWidth="1"/>
    <col min="3" max="3" width="15.86328125" bestFit="1" customWidth="1"/>
    <col min="4" max="6" width="20.59765625" customWidth="1"/>
    <col min="7" max="7" width="22.86328125" customWidth="1"/>
    <col min="8" max="8" width="24.3984375" customWidth="1"/>
    <col min="9" max="9" width="20.3984375" bestFit="1" customWidth="1"/>
    <col min="10" max="10" width="12" customWidth="1"/>
  </cols>
  <sheetData>
    <row r="1" spans="1:9" ht="13.15" x14ac:dyDescent="0.4">
      <c r="A1" s="1" t="s">
        <v>12</v>
      </c>
      <c r="B1" s="1" t="s">
        <v>46</v>
      </c>
      <c r="C1" s="1" t="s">
        <v>18</v>
      </c>
      <c r="D1" s="4" t="s">
        <v>33</v>
      </c>
      <c r="E1" s="4" t="s">
        <v>47</v>
      </c>
      <c r="F1" s="4" t="s">
        <v>48</v>
      </c>
      <c r="G1" s="4" t="s">
        <v>43</v>
      </c>
      <c r="H1" s="4" t="s">
        <v>49</v>
      </c>
      <c r="I1" s="4" t="s">
        <v>44</v>
      </c>
    </row>
    <row r="2" spans="1:9" x14ac:dyDescent="0.35">
      <c r="A2" t="s">
        <v>1</v>
      </c>
      <c r="B2" s="34">
        <f>0.0123699/1000</f>
        <v>1.23699E-5</v>
      </c>
      <c r="C2" t="s">
        <v>56</v>
      </c>
      <c r="D2" s="35">
        <f>B2*Burst_Multiplier</f>
        <v>1.4843879999999999E-5</v>
      </c>
      <c r="E2" s="35">
        <f>B2*Hours_in_a_day</f>
        <v>2.9687760000000001E-4</v>
      </c>
      <c r="F2" s="35">
        <f>B2*Hours_in_a_day*Days_in_a_month*Months_in_Annual_Package</f>
        <v>8.9063279999999995E-2</v>
      </c>
      <c r="G2" s="35">
        <f t="shared" ref="G2:G7" si="0">D2*Hours_in_a_day*Days_in_a_month</f>
        <v>1.0687593599999998E-2</v>
      </c>
      <c r="H2" s="35">
        <f t="shared" ref="H2:H7" si="1">E2*Days_in_a_month</f>
        <v>8.9063279999999998E-3</v>
      </c>
      <c r="I2" s="35">
        <f>F2/12</f>
        <v>7.4219399999999993E-3</v>
      </c>
    </row>
    <row r="3" spans="1:9" x14ac:dyDescent="0.35">
      <c r="A3" t="s">
        <v>0</v>
      </c>
      <c r="B3" s="34">
        <f>0.017379999989/1024</f>
        <v>1.6972656239257813E-5</v>
      </c>
      <c r="C3" t="s">
        <v>36</v>
      </c>
      <c r="D3" s="35">
        <f>B3*Burst_Multiplier</f>
        <v>2.0367187487109374E-5</v>
      </c>
      <c r="E3" s="35">
        <f>B3*Hours_in_a_day</f>
        <v>4.073437497421875E-4</v>
      </c>
      <c r="F3" s="35">
        <f>B3*Hours_in_a_day*Days_in_a_month*Months_in_Annual_Package</f>
        <v>0.12220312492265625</v>
      </c>
      <c r="G3" s="35">
        <f t="shared" si="0"/>
        <v>1.4664374990718749E-2</v>
      </c>
      <c r="H3" s="35">
        <f t="shared" si="1"/>
        <v>1.2220312492265625E-2</v>
      </c>
      <c r="I3" s="35">
        <f t="shared" ref="I3:I7" si="2">F3/12</f>
        <v>1.0183593743554688E-2</v>
      </c>
    </row>
    <row r="4" spans="1:9" x14ac:dyDescent="0.35">
      <c r="A4" t="s">
        <v>106</v>
      </c>
      <c r="B4" s="34">
        <v>0.13134000000000001</v>
      </c>
      <c r="C4" t="s">
        <v>34</v>
      </c>
      <c r="D4" s="35">
        <f>B4/(Days_in_a_month*Hours_in_a_day)*Burst_Multiplier</f>
        <v>2.1890000000000004E-4</v>
      </c>
      <c r="E4" s="35">
        <f>B4/Days_in_a_month</f>
        <v>4.3780000000000008E-3</v>
      </c>
      <c r="F4" s="35">
        <f>B4*Months_in_Annual_Package</f>
        <v>1.3134000000000001</v>
      </c>
      <c r="G4" s="35">
        <f t="shared" si="0"/>
        <v>0.15760800000000003</v>
      </c>
      <c r="H4" s="35">
        <f t="shared" si="1"/>
        <v>0.13134000000000001</v>
      </c>
      <c r="I4" s="35">
        <f t="shared" si="2"/>
        <v>0.10945000000000001</v>
      </c>
    </row>
    <row r="5" spans="1:9" x14ac:dyDescent="0.35">
      <c r="A5" t="s">
        <v>105</v>
      </c>
      <c r="B5" s="34">
        <v>0.18392</v>
      </c>
      <c r="C5" t="s">
        <v>34</v>
      </c>
      <c r="D5" s="35">
        <f>B5/(Days_in_a_month*Hours_in_a_day)*Burst_Multiplier</f>
        <v>3.0653333333333332E-4</v>
      </c>
      <c r="E5" s="35">
        <f>B5/Days_in_a_month</f>
        <v>6.1306666666666671E-3</v>
      </c>
      <c r="F5" s="35">
        <f>B5*Months_in_Annual_Package</f>
        <v>1.8391999999999999</v>
      </c>
      <c r="G5" s="35">
        <f t="shared" si="0"/>
        <v>0.22070400000000001</v>
      </c>
      <c r="H5" s="35">
        <f t="shared" si="1"/>
        <v>0.18392</v>
      </c>
      <c r="I5" s="35">
        <f t="shared" si="2"/>
        <v>0.15326666666666666</v>
      </c>
    </row>
    <row r="6" spans="1:9" x14ac:dyDescent="0.35">
      <c r="A6" t="s">
        <v>16</v>
      </c>
      <c r="B6" s="34">
        <v>2.1779999999999999</v>
      </c>
      <c r="C6" t="s">
        <v>35</v>
      </c>
      <c r="D6" s="35">
        <f>B6/(Days_in_a_month*Hours_in_a_day)*Burst_Multiplier</f>
        <v>3.6299999999999995E-3</v>
      </c>
      <c r="E6" s="35">
        <f>B6/Days_in_a_month</f>
        <v>7.2599999999999998E-2</v>
      </c>
      <c r="F6" s="35">
        <f>B6*Months_in_Annual_Package</f>
        <v>21.78</v>
      </c>
      <c r="G6" s="35">
        <f t="shared" si="0"/>
        <v>2.6135999999999995</v>
      </c>
      <c r="H6" s="35">
        <f t="shared" si="1"/>
        <v>2.1779999999999999</v>
      </c>
      <c r="I6" s="35">
        <f t="shared" si="2"/>
        <v>1.8150000000000002</v>
      </c>
    </row>
    <row r="7" spans="1:9" x14ac:dyDescent="0.35">
      <c r="A7" t="s">
        <v>10</v>
      </c>
      <c r="B7" s="34">
        <v>4.3120000000000003</v>
      </c>
      <c r="C7" t="s">
        <v>35</v>
      </c>
      <c r="D7" s="35">
        <f>B7/(Days_in_a_month*Hours_in_a_day)*Burst_Multiplier</f>
        <v>7.1866666666666667E-3</v>
      </c>
      <c r="E7" s="35">
        <f>B7/Days_in_a_month</f>
        <v>0.14373333333333335</v>
      </c>
      <c r="F7" s="35">
        <f>B7*Months_in_Annual_Package</f>
        <v>43.120000000000005</v>
      </c>
      <c r="G7" s="35">
        <f t="shared" si="0"/>
        <v>5.1743999999999994</v>
      </c>
      <c r="H7" s="35">
        <f t="shared" si="1"/>
        <v>4.3120000000000003</v>
      </c>
      <c r="I7" s="35">
        <f t="shared" si="2"/>
        <v>3.5933333333333337</v>
      </c>
    </row>
    <row r="8" spans="1:9" x14ac:dyDescent="0.35">
      <c r="A8" t="s">
        <v>28</v>
      </c>
      <c r="B8" s="34">
        <v>8.7999999999999995E-2</v>
      </c>
      <c r="C8" t="s">
        <v>34</v>
      </c>
      <c r="D8" s="35">
        <f>B8*Burst_Multiplier</f>
        <v>0.10559999999999999</v>
      </c>
      <c r="E8" s="35">
        <f>B8</f>
        <v>8.7999999999999995E-2</v>
      </c>
      <c r="F8" s="35">
        <f>B8*Months_in_Annual_Package/12</f>
        <v>7.333333333333332E-2</v>
      </c>
      <c r="G8" s="35">
        <f>D8</f>
        <v>0.10559999999999999</v>
      </c>
      <c r="H8" s="35">
        <f t="shared" ref="H8:I8" si="3">E8</f>
        <v>8.7999999999999995E-2</v>
      </c>
      <c r="I8" s="35">
        <f t="shared" si="3"/>
        <v>7.333333333333332E-2</v>
      </c>
    </row>
    <row r="9" spans="1:9" x14ac:dyDescent="0.35">
      <c r="A9" t="s">
        <v>29</v>
      </c>
      <c r="B9" s="34">
        <v>4.3120000000000003</v>
      </c>
      <c r="C9" t="s">
        <v>35</v>
      </c>
      <c r="D9" s="35">
        <f>B9*Burst_Multiplier</f>
        <v>5.1744000000000003</v>
      </c>
      <c r="E9" s="35">
        <f>B9</f>
        <v>4.3120000000000003</v>
      </c>
      <c r="F9" s="35">
        <f>B9*Months_in_Annual_Package/12</f>
        <v>3.5933333333333337</v>
      </c>
      <c r="G9" s="35">
        <f>D9</f>
        <v>5.1744000000000003</v>
      </c>
      <c r="H9" s="35">
        <f t="shared" ref="H9:I9" si="4">E9</f>
        <v>4.3120000000000003</v>
      </c>
      <c r="I9" s="35">
        <f t="shared" si="4"/>
        <v>3.5933333333333337</v>
      </c>
    </row>
    <row r="10" spans="1:9" x14ac:dyDescent="0.35">
      <c r="A10" t="s">
        <v>5</v>
      </c>
      <c r="B10" s="34">
        <v>16.27</v>
      </c>
      <c r="C10" t="s">
        <v>35</v>
      </c>
      <c r="D10" s="35">
        <f>B10</f>
        <v>16.27</v>
      </c>
      <c r="E10" s="35">
        <f>B10</f>
        <v>16.27</v>
      </c>
      <c r="F10" s="35">
        <f>B10*12</f>
        <v>195.24</v>
      </c>
      <c r="G10" s="35">
        <f t="shared" ref="G10:G18" si="5">B10</f>
        <v>16.27</v>
      </c>
      <c r="H10" s="35">
        <f t="shared" ref="H10:H18" si="6">B10</f>
        <v>16.27</v>
      </c>
      <c r="I10" s="35">
        <f t="shared" ref="I10:I18" si="7">B10</f>
        <v>16.27</v>
      </c>
    </row>
    <row r="11" spans="1:9" x14ac:dyDescent="0.35">
      <c r="A11" t="s">
        <v>6</v>
      </c>
      <c r="B11" s="34">
        <v>390</v>
      </c>
      <c r="C11" t="s">
        <v>35</v>
      </c>
      <c r="D11" s="35">
        <f t="shared" ref="D11:D18" si="8">B11</f>
        <v>390</v>
      </c>
      <c r="E11" s="35">
        <f t="shared" ref="E11:E18" si="9">B11</f>
        <v>390</v>
      </c>
      <c r="F11" s="35">
        <f t="shared" ref="F11:F18" si="10">B11*12</f>
        <v>4680</v>
      </c>
      <c r="G11" s="35">
        <f t="shared" si="5"/>
        <v>390</v>
      </c>
      <c r="H11" s="35">
        <f t="shared" si="6"/>
        <v>390</v>
      </c>
      <c r="I11" s="35">
        <f t="shared" si="7"/>
        <v>390</v>
      </c>
    </row>
    <row r="12" spans="1:9" x14ac:dyDescent="0.35">
      <c r="A12" t="s">
        <v>7</v>
      </c>
      <c r="B12" s="34">
        <v>2725</v>
      </c>
      <c r="C12" t="s">
        <v>35</v>
      </c>
      <c r="D12" s="35">
        <f t="shared" si="8"/>
        <v>2725</v>
      </c>
      <c r="E12" s="35">
        <f t="shared" si="9"/>
        <v>2725</v>
      </c>
      <c r="F12" s="35">
        <f t="shared" si="10"/>
        <v>32700</v>
      </c>
      <c r="G12" s="35">
        <f t="shared" si="5"/>
        <v>2725</v>
      </c>
      <c r="H12" s="35">
        <f t="shared" si="6"/>
        <v>2725</v>
      </c>
      <c r="I12" s="35">
        <f t="shared" si="7"/>
        <v>2725</v>
      </c>
    </row>
    <row r="13" spans="1:9" x14ac:dyDescent="0.35">
      <c r="A13" t="s">
        <v>110</v>
      </c>
      <c r="B13" s="34">
        <v>115</v>
      </c>
      <c r="C13" t="s">
        <v>35</v>
      </c>
      <c r="D13" s="35">
        <f t="shared" si="8"/>
        <v>115</v>
      </c>
      <c r="E13" s="35">
        <f t="shared" si="9"/>
        <v>115</v>
      </c>
      <c r="F13" s="35">
        <f t="shared" si="10"/>
        <v>1380</v>
      </c>
      <c r="G13" s="35">
        <f t="shared" si="5"/>
        <v>115</v>
      </c>
      <c r="H13" s="35">
        <f t="shared" si="6"/>
        <v>115</v>
      </c>
      <c r="I13" s="35">
        <f t="shared" si="7"/>
        <v>115</v>
      </c>
    </row>
    <row r="14" spans="1:9" x14ac:dyDescent="0.35">
      <c r="A14" t="s">
        <v>9</v>
      </c>
      <c r="B14" s="34">
        <v>400</v>
      </c>
      <c r="C14" t="s">
        <v>35</v>
      </c>
      <c r="D14" s="35">
        <f t="shared" si="8"/>
        <v>400</v>
      </c>
      <c r="E14" s="35">
        <f t="shared" si="9"/>
        <v>400</v>
      </c>
      <c r="F14" s="35">
        <f t="shared" si="10"/>
        <v>4800</v>
      </c>
      <c r="G14" s="35">
        <f t="shared" si="5"/>
        <v>400</v>
      </c>
      <c r="H14" s="35">
        <f t="shared" si="6"/>
        <v>400</v>
      </c>
      <c r="I14" s="35">
        <f t="shared" si="7"/>
        <v>400</v>
      </c>
    </row>
    <row r="15" spans="1:9" x14ac:dyDescent="0.35">
      <c r="A15" t="s">
        <v>100</v>
      </c>
      <c r="B15" s="34">
        <v>342</v>
      </c>
      <c r="C15" t="s">
        <v>35</v>
      </c>
      <c r="D15" s="35">
        <f t="shared" si="8"/>
        <v>342</v>
      </c>
      <c r="E15" s="35">
        <f t="shared" si="9"/>
        <v>342</v>
      </c>
      <c r="F15" s="35">
        <f t="shared" si="10"/>
        <v>4104</v>
      </c>
      <c r="G15" s="35">
        <f t="shared" si="5"/>
        <v>342</v>
      </c>
      <c r="H15" s="35">
        <f t="shared" si="6"/>
        <v>342</v>
      </c>
      <c r="I15" s="35">
        <f t="shared" si="7"/>
        <v>342</v>
      </c>
    </row>
    <row r="16" spans="1:9" x14ac:dyDescent="0.35">
      <c r="A16" t="s">
        <v>101</v>
      </c>
      <c r="B16" s="34">
        <v>2914</v>
      </c>
      <c r="C16" t="s">
        <v>35</v>
      </c>
      <c r="D16" s="35">
        <f t="shared" si="8"/>
        <v>2914</v>
      </c>
      <c r="E16" s="35">
        <f t="shared" si="9"/>
        <v>2914</v>
      </c>
      <c r="F16" s="35">
        <f t="shared" si="10"/>
        <v>34968</v>
      </c>
      <c r="G16" s="35">
        <f t="shared" si="5"/>
        <v>2914</v>
      </c>
      <c r="H16" s="35">
        <f t="shared" si="6"/>
        <v>2914</v>
      </c>
      <c r="I16" s="35">
        <f t="shared" si="7"/>
        <v>2914</v>
      </c>
    </row>
    <row r="17" spans="1:9" x14ac:dyDescent="0.35">
      <c r="A17" t="s">
        <v>102</v>
      </c>
      <c r="B17" s="34">
        <v>86.525999999999996</v>
      </c>
      <c r="C17" t="s">
        <v>35</v>
      </c>
      <c r="D17" s="35">
        <f t="shared" si="8"/>
        <v>86.525999999999996</v>
      </c>
      <c r="E17" s="35">
        <f t="shared" si="9"/>
        <v>86.525999999999996</v>
      </c>
      <c r="F17" s="35">
        <f t="shared" si="10"/>
        <v>1038.3119999999999</v>
      </c>
      <c r="G17" s="35">
        <f t="shared" si="5"/>
        <v>86.525999999999996</v>
      </c>
      <c r="H17" s="35">
        <f t="shared" si="6"/>
        <v>86.525999999999996</v>
      </c>
      <c r="I17" s="35">
        <f t="shared" si="7"/>
        <v>86.525999999999996</v>
      </c>
    </row>
    <row r="18" spans="1:9" x14ac:dyDescent="0.35">
      <c r="A18" t="s">
        <v>103</v>
      </c>
      <c r="B18" s="34">
        <v>16.5</v>
      </c>
      <c r="C18" t="s">
        <v>35</v>
      </c>
      <c r="D18" s="35">
        <f t="shared" si="8"/>
        <v>16.5</v>
      </c>
      <c r="E18" s="35">
        <f t="shared" si="9"/>
        <v>16.5</v>
      </c>
      <c r="F18" s="35">
        <f t="shared" si="10"/>
        <v>198</v>
      </c>
      <c r="G18" s="35">
        <f t="shared" si="5"/>
        <v>16.5</v>
      </c>
      <c r="H18" s="35">
        <f t="shared" si="6"/>
        <v>16.5</v>
      </c>
      <c r="I18" s="35">
        <f t="shared" si="7"/>
        <v>16.5</v>
      </c>
    </row>
    <row r="19" spans="1:9" x14ac:dyDescent="0.35">
      <c r="A19" t="s">
        <v>109</v>
      </c>
      <c r="B19" s="34">
        <v>86.525999999999996</v>
      </c>
      <c r="C19" t="s">
        <v>35</v>
      </c>
      <c r="D19" s="35">
        <f t="shared" ref="D19" si="11">B19</f>
        <v>86.525999999999996</v>
      </c>
      <c r="E19" s="35">
        <f t="shared" ref="E19" si="12">B19</f>
        <v>86.525999999999996</v>
      </c>
      <c r="F19" s="35">
        <f t="shared" ref="F19" si="13">B19*12</f>
        <v>1038.3119999999999</v>
      </c>
      <c r="G19" s="35">
        <f t="shared" ref="G19" si="14">B19</f>
        <v>86.525999999999996</v>
      </c>
      <c r="H19" s="35">
        <f t="shared" ref="H19" si="15">B19</f>
        <v>86.525999999999996</v>
      </c>
      <c r="I19" s="35">
        <f t="shared" ref="I19" si="16">B19</f>
        <v>86.525999999999996</v>
      </c>
    </row>
    <row r="20" spans="1:9" x14ac:dyDescent="0.35">
      <c r="A20" t="s">
        <v>108</v>
      </c>
      <c r="B20" s="34">
        <v>86.525999999999996</v>
      </c>
      <c r="C20" t="s">
        <v>35</v>
      </c>
      <c r="D20" s="35">
        <f t="shared" ref="D20" si="17">B20</f>
        <v>86.525999999999996</v>
      </c>
      <c r="E20" s="35">
        <f t="shared" ref="E20" si="18">B20</f>
        <v>86.525999999999996</v>
      </c>
      <c r="F20" s="35">
        <f t="shared" ref="F20" si="19">B20*12</f>
        <v>1038.3119999999999</v>
      </c>
      <c r="G20" s="35">
        <f t="shared" ref="G20" si="20">B20</f>
        <v>86.525999999999996</v>
      </c>
      <c r="H20" s="35">
        <f t="shared" ref="H20" si="21">B20</f>
        <v>86.525999999999996</v>
      </c>
      <c r="I20" s="35">
        <f t="shared" ref="I20" si="22">B20</f>
        <v>86.525999999999996</v>
      </c>
    </row>
    <row r="30" spans="1:9" x14ac:dyDescent="0.35">
      <c r="A30" t="s">
        <v>107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zoomScale="85" zoomScaleNormal="85" workbookViewId="0">
      <selection activeCell="E32" sqref="E32"/>
    </sheetView>
  </sheetViews>
  <sheetFormatPr defaultRowHeight="12.75" x14ac:dyDescent="0.35"/>
  <cols>
    <col min="1" max="1" width="20.1328125" bestFit="1" customWidth="1"/>
    <col min="2" max="2" width="62.73046875" customWidth="1"/>
    <col min="3" max="3" width="16" customWidth="1"/>
    <col min="4" max="4" width="15.59765625" bestFit="1" customWidth="1"/>
    <col min="5" max="5" width="20.86328125" bestFit="1" customWidth="1"/>
    <col min="6" max="6" width="12.265625" bestFit="1" customWidth="1"/>
  </cols>
  <sheetData>
    <row r="1" spans="1:6" ht="13.15" x14ac:dyDescent="0.4">
      <c r="A1" s="1" t="s">
        <v>11</v>
      </c>
      <c r="B1" s="1" t="s">
        <v>22</v>
      </c>
      <c r="C1" s="1" t="s">
        <v>27</v>
      </c>
      <c r="D1" s="1" t="s">
        <v>18</v>
      </c>
      <c r="E1" s="1" t="s">
        <v>50</v>
      </c>
      <c r="F1" s="1" t="s">
        <v>53</v>
      </c>
    </row>
    <row r="2" spans="1:6" x14ac:dyDescent="0.35">
      <c r="A2" t="s">
        <v>31</v>
      </c>
      <c r="B2" t="s">
        <v>13</v>
      </c>
      <c r="C2">
        <v>4</v>
      </c>
      <c r="D2" t="s">
        <v>21</v>
      </c>
      <c r="E2" t="s">
        <v>51</v>
      </c>
      <c r="F2" t="s">
        <v>19</v>
      </c>
    </row>
    <row r="3" spans="1:6" x14ac:dyDescent="0.35">
      <c r="A3" t="s">
        <v>32</v>
      </c>
      <c r="B3" t="s">
        <v>14</v>
      </c>
      <c r="C3">
        <v>5</v>
      </c>
      <c r="D3" t="str">
        <f>"per day"</f>
        <v>per day</v>
      </c>
      <c r="E3" t="s">
        <v>51</v>
      </c>
      <c r="F3" t="s">
        <v>41</v>
      </c>
    </row>
    <row r="4" spans="1:6" x14ac:dyDescent="0.35">
      <c r="A4" t="s">
        <v>52</v>
      </c>
      <c r="B4" t="s">
        <v>15</v>
      </c>
      <c r="C4">
        <v>6</v>
      </c>
      <c r="D4" t="s">
        <v>23</v>
      </c>
      <c r="E4" t="s">
        <v>23</v>
      </c>
      <c r="F4" t="s">
        <v>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5"/>
  <sheetViews>
    <sheetView zoomScale="85" zoomScaleNormal="85" workbookViewId="0">
      <selection activeCell="E32" sqref="E32"/>
    </sheetView>
  </sheetViews>
  <sheetFormatPr defaultRowHeight="12.75" x14ac:dyDescent="0.35"/>
  <cols>
    <col min="2" max="2" width="23.73046875" bestFit="1" customWidth="1"/>
  </cols>
  <sheetData>
    <row r="2" spans="2:3" x14ac:dyDescent="0.35">
      <c r="B2" t="s">
        <v>24</v>
      </c>
      <c r="C2" s="2">
        <v>30</v>
      </c>
    </row>
    <row r="3" spans="2:3" x14ac:dyDescent="0.35">
      <c r="B3" t="s">
        <v>25</v>
      </c>
      <c r="C3" s="2">
        <v>24</v>
      </c>
    </row>
    <row r="4" spans="2:3" x14ac:dyDescent="0.35">
      <c r="B4" t="s">
        <v>26</v>
      </c>
      <c r="C4" s="2">
        <v>10</v>
      </c>
    </row>
    <row r="5" spans="2:3" x14ac:dyDescent="0.35">
      <c r="B5" t="s">
        <v>42</v>
      </c>
      <c r="C5" s="2">
        <v>1.2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23F50-7E42-4906-821D-3C7B4F6E36A4}">
  <sheetPr codeName="Sheet1"/>
  <dimension ref="A1:L35"/>
  <sheetViews>
    <sheetView workbookViewId="0">
      <selection activeCell="E32" sqref="E32"/>
    </sheetView>
  </sheetViews>
  <sheetFormatPr defaultRowHeight="12.75" x14ac:dyDescent="0.35"/>
  <cols>
    <col min="1" max="1" width="57" customWidth="1"/>
    <col min="2" max="2" width="14.73046875" customWidth="1"/>
    <col min="3" max="3" width="11.73046875" customWidth="1"/>
    <col min="5" max="5" width="10.73046875" bestFit="1" customWidth="1"/>
    <col min="6" max="6" width="11.73046875" customWidth="1"/>
    <col min="7" max="7" width="12.1328125" customWidth="1"/>
    <col min="8" max="8" width="12.59765625" customWidth="1"/>
    <col min="11" max="11" width="14.59765625" customWidth="1"/>
  </cols>
  <sheetData>
    <row r="1" spans="1:12" ht="13.15" x14ac:dyDescent="0.4">
      <c r="C1" s="31" t="s">
        <v>77</v>
      </c>
      <c r="D1" s="31" t="s">
        <v>78</v>
      </c>
      <c r="E1" s="31" t="s">
        <v>80</v>
      </c>
      <c r="F1" s="31" t="s">
        <v>81</v>
      </c>
      <c r="K1" s="87" t="s">
        <v>79</v>
      </c>
      <c r="L1" s="87"/>
    </row>
    <row r="2" spans="1:12" x14ac:dyDescent="0.35">
      <c r="A2" t="s">
        <v>69</v>
      </c>
      <c r="C2" s="24">
        <v>27.99</v>
      </c>
      <c r="D2" s="25">
        <v>19.989999999999998</v>
      </c>
      <c r="E2" s="26">
        <f>L3*C2</f>
        <v>414.25200000000001</v>
      </c>
      <c r="F2" s="26">
        <f>L4*D2</f>
        <v>365.01740000000001</v>
      </c>
      <c r="K2" s="27">
        <v>43713</v>
      </c>
      <c r="L2" s="23" t="s">
        <v>76</v>
      </c>
    </row>
    <row r="3" spans="1:12" ht="13.15" x14ac:dyDescent="0.4">
      <c r="A3" t="s">
        <v>71</v>
      </c>
      <c r="C3" s="24">
        <v>419.99</v>
      </c>
      <c r="D3" s="25">
        <v>308.39</v>
      </c>
      <c r="E3" s="26">
        <f>L3*C3</f>
        <v>6215.8520000000008</v>
      </c>
      <c r="F3" s="26">
        <f>L4*D3</f>
        <v>5631.2013999999999</v>
      </c>
      <c r="K3" s="29" t="s">
        <v>74</v>
      </c>
      <c r="L3" s="26">
        <v>14.8</v>
      </c>
    </row>
    <row r="4" spans="1:12" ht="13.15" x14ac:dyDescent="0.4">
      <c r="A4" t="s">
        <v>72</v>
      </c>
      <c r="C4" s="24">
        <v>109.99</v>
      </c>
      <c r="D4" s="25">
        <v>80.39</v>
      </c>
      <c r="E4" s="26">
        <f>L3*C4</f>
        <v>1627.8520000000001</v>
      </c>
      <c r="F4" s="26">
        <v>874.16</v>
      </c>
      <c r="K4" s="30" t="s">
        <v>75</v>
      </c>
      <c r="L4" s="26">
        <v>18.260000000000002</v>
      </c>
    </row>
    <row r="5" spans="1:12" ht="13.15" x14ac:dyDescent="0.4">
      <c r="A5" t="s">
        <v>73</v>
      </c>
      <c r="C5" s="24">
        <v>20</v>
      </c>
      <c r="D5" s="25">
        <v>13</v>
      </c>
      <c r="E5" s="26">
        <f>L3*C5</f>
        <v>296</v>
      </c>
      <c r="F5" s="26">
        <f>L4*D5</f>
        <v>237.38000000000002</v>
      </c>
      <c r="K5" s="31" t="s">
        <v>76</v>
      </c>
      <c r="L5" s="26">
        <v>1</v>
      </c>
    </row>
    <row r="6" spans="1:12" x14ac:dyDescent="0.35">
      <c r="A6" t="s">
        <v>70</v>
      </c>
      <c r="C6" s="24">
        <v>5.5</v>
      </c>
      <c r="D6" s="25">
        <v>4</v>
      </c>
      <c r="E6" s="26">
        <f>L3*C6</f>
        <v>81.400000000000006</v>
      </c>
      <c r="F6" s="26">
        <f>L4*D6</f>
        <v>73.040000000000006</v>
      </c>
    </row>
    <row r="9" spans="1:12" ht="13.15" x14ac:dyDescent="0.4">
      <c r="A9" s="28" t="s">
        <v>97</v>
      </c>
      <c r="D9" s="28" t="s">
        <v>98</v>
      </c>
      <c r="H9" s="28" t="s">
        <v>104</v>
      </c>
    </row>
    <row r="10" spans="1:12" x14ac:dyDescent="0.35">
      <c r="A10" t="s">
        <v>5</v>
      </c>
      <c r="B10" s="3">
        <v>180</v>
      </c>
      <c r="D10" s="86" t="s">
        <v>99</v>
      </c>
      <c r="E10" s="86"/>
      <c r="F10" s="86"/>
      <c r="G10" s="86"/>
      <c r="H10" s="32">
        <v>190</v>
      </c>
    </row>
    <row r="11" spans="1:12" x14ac:dyDescent="0.35">
      <c r="A11" t="s">
        <v>6</v>
      </c>
      <c r="B11" s="3">
        <v>390</v>
      </c>
      <c r="D11" s="86" t="s">
        <v>100</v>
      </c>
      <c r="E11" s="86"/>
      <c r="F11" s="86"/>
      <c r="G11" s="86"/>
      <c r="H11" s="32">
        <v>342</v>
      </c>
    </row>
    <row r="12" spans="1:12" x14ac:dyDescent="0.35">
      <c r="A12" t="s">
        <v>7</v>
      </c>
      <c r="B12" s="3">
        <v>2725</v>
      </c>
      <c r="D12" s="86" t="s">
        <v>101</v>
      </c>
      <c r="E12" s="86"/>
      <c r="F12" s="86"/>
      <c r="G12" s="86"/>
      <c r="H12" s="32">
        <v>2913.76</v>
      </c>
    </row>
    <row r="13" spans="1:12" x14ac:dyDescent="0.35">
      <c r="A13" t="s">
        <v>8</v>
      </c>
      <c r="B13" s="3">
        <v>115</v>
      </c>
      <c r="D13" s="86" t="s">
        <v>102</v>
      </c>
      <c r="E13" s="86"/>
      <c r="F13" s="86"/>
      <c r="G13" s="86"/>
      <c r="H13" s="32">
        <v>660.28</v>
      </c>
    </row>
    <row r="14" spans="1:12" x14ac:dyDescent="0.35">
      <c r="A14" t="s">
        <v>9</v>
      </c>
      <c r="B14" s="3">
        <v>400</v>
      </c>
      <c r="D14" s="86" t="s">
        <v>103</v>
      </c>
      <c r="E14" s="86"/>
      <c r="F14" s="86"/>
      <c r="G14" s="86"/>
      <c r="H14" s="32">
        <v>115</v>
      </c>
    </row>
    <row r="15" spans="1:12" x14ac:dyDescent="0.35">
      <c r="A15" t="s">
        <v>4</v>
      </c>
      <c r="B15" s="3">
        <v>6410</v>
      </c>
      <c r="D15" t="s">
        <v>93</v>
      </c>
      <c r="H15" s="32">
        <v>2913.72</v>
      </c>
    </row>
    <row r="18" spans="1:3" ht="13.15" x14ac:dyDescent="0.4">
      <c r="A18" s="28" t="s">
        <v>82</v>
      </c>
      <c r="B18" s="28" t="s">
        <v>95</v>
      </c>
      <c r="C18" s="28" t="s">
        <v>96</v>
      </c>
    </row>
    <row r="19" spans="1:3" x14ac:dyDescent="0.35">
      <c r="A19" t="s">
        <v>83</v>
      </c>
      <c r="B19" s="26">
        <v>157.88999999999999</v>
      </c>
      <c r="C19" s="26">
        <f t="shared" ref="C19:C30" si="0">B19*1.15</f>
        <v>181.57349999999997</v>
      </c>
    </row>
    <row r="20" spans="1:3" x14ac:dyDescent="0.35">
      <c r="A20" t="s">
        <v>84</v>
      </c>
      <c r="B20" s="26">
        <v>342.1</v>
      </c>
      <c r="C20" s="26">
        <f t="shared" si="0"/>
        <v>393.41500000000002</v>
      </c>
    </row>
    <row r="21" spans="1:3" x14ac:dyDescent="0.35">
      <c r="A21" t="s">
        <v>85</v>
      </c>
      <c r="B21" s="26">
        <v>2390.35</v>
      </c>
      <c r="C21" s="26">
        <f t="shared" si="0"/>
        <v>2748.9024999999997</v>
      </c>
    </row>
    <row r="22" spans="1:3" x14ac:dyDescent="0.35">
      <c r="A22" t="s">
        <v>86</v>
      </c>
      <c r="B22" s="26">
        <v>342.1</v>
      </c>
      <c r="C22" s="26">
        <f t="shared" si="0"/>
        <v>393.41500000000002</v>
      </c>
    </row>
    <row r="23" spans="1:3" x14ac:dyDescent="0.35">
      <c r="A23" t="s">
        <v>87</v>
      </c>
      <c r="B23" s="26">
        <v>100.87</v>
      </c>
      <c r="C23" s="26">
        <f t="shared" si="0"/>
        <v>116.0005</v>
      </c>
    </row>
    <row r="24" spans="1:3" x14ac:dyDescent="0.35">
      <c r="A24" t="s">
        <v>88</v>
      </c>
      <c r="B24" s="26">
        <v>350.87</v>
      </c>
      <c r="C24" s="26">
        <f t="shared" si="0"/>
        <v>403.50049999999999</v>
      </c>
    </row>
    <row r="25" spans="1:3" x14ac:dyDescent="0.35">
      <c r="A25" t="s">
        <v>89</v>
      </c>
      <c r="B25" s="26">
        <v>5622.8</v>
      </c>
      <c r="C25" s="26">
        <f t="shared" si="0"/>
        <v>6466.2199999999993</v>
      </c>
    </row>
    <row r="26" spans="1:3" x14ac:dyDescent="0.35">
      <c r="A26" t="s">
        <v>90</v>
      </c>
      <c r="B26" s="26">
        <v>0</v>
      </c>
      <c r="C26" s="26">
        <f t="shared" si="0"/>
        <v>0</v>
      </c>
    </row>
    <row r="27" spans="1:3" x14ac:dyDescent="0.35">
      <c r="A27" t="s">
        <v>91</v>
      </c>
      <c r="B27" s="26">
        <v>574.16</v>
      </c>
      <c r="C27" s="26">
        <f t="shared" si="0"/>
        <v>660.28399999999988</v>
      </c>
    </row>
    <row r="28" spans="1:3" x14ac:dyDescent="0.35">
      <c r="A28" t="s">
        <v>92</v>
      </c>
      <c r="B28" s="26">
        <v>337.75</v>
      </c>
      <c r="C28" s="26">
        <f t="shared" si="0"/>
        <v>388.41249999999997</v>
      </c>
    </row>
    <row r="29" spans="1:3" x14ac:dyDescent="0.35">
      <c r="A29" t="s">
        <v>93</v>
      </c>
      <c r="B29" s="26">
        <v>2533.67</v>
      </c>
      <c r="C29" s="26">
        <f t="shared" si="0"/>
        <v>2913.7204999999999</v>
      </c>
    </row>
    <row r="30" spans="1:3" x14ac:dyDescent="0.35">
      <c r="A30" t="s">
        <v>94</v>
      </c>
      <c r="B30" s="26">
        <v>9716.1200000000008</v>
      </c>
      <c r="C30" s="26">
        <f t="shared" si="0"/>
        <v>11173.538</v>
      </c>
    </row>
    <row r="34" spans="5:6" x14ac:dyDescent="0.35">
      <c r="E34" s="33"/>
      <c r="F34" s="33"/>
    </row>
    <row r="35" spans="5:6" x14ac:dyDescent="0.35">
      <c r="E35" s="33"/>
      <c r="F35" s="33"/>
    </row>
  </sheetData>
  <mergeCells count="6">
    <mergeCell ref="D14:G14"/>
    <mergeCell ref="K1:L1"/>
    <mergeCell ref="D10:G10"/>
    <mergeCell ref="D11:G11"/>
    <mergeCell ref="D12:G12"/>
    <mergeCell ref="D13:G13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d474b94-ba02-4e88-987e-f92536b7745b" xsi:nil="true"/>
    <lcf76f155ced4ddcb4097134ff3c332f xmlns="5aff64d6-7803-4fb3-a6dc-2c7b0357e73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55B8CB2009EA46A9BB1E01FBBB0354" ma:contentTypeVersion="16" ma:contentTypeDescription="Create a new document." ma:contentTypeScope="" ma:versionID="72c777d544a9d375728e1316d80220e5">
  <xsd:schema xmlns:xsd="http://www.w3.org/2001/XMLSchema" xmlns:xs="http://www.w3.org/2001/XMLSchema" xmlns:p="http://schemas.microsoft.com/office/2006/metadata/properties" xmlns:ns2="ad474b94-ba02-4e88-987e-f92536b7745b" xmlns:ns3="5aff64d6-7803-4fb3-a6dc-2c7b0357e73e" targetNamespace="http://schemas.microsoft.com/office/2006/metadata/properties" ma:root="true" ma:fieldsID="0a0e8a981b1406fc63702e8bd477dff2" ns2:_="" ns3:_="">
    <xsd:import namespace="ad474b94-ba02-4e88-987e-f92536b7745b"/>
    <xsd:import namespace="5aff64d6-7803-4fb3-a6dc-2c7b0357e7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474b94-ba02-4e88-987e-f92536b7745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c9b889d-eaad-4853-a00c-9b2bfa4606ee}" ma:internalName="TaxCatchAll" ma:showField="CatchAllData" ma:web="ad474b94-ba02-4e88-987e-f92536b774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ff64d6-7803-4fb3-a6dc-2c7b0357e7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cfc99f7-70ad-488d-894b-4cbc4a7de5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DD4C17-DBD0-449B-BBFF-7F4AA51C0480}">
  <ds:schemaRefs>
    <ds:schemaRef ds:uri="http://purl.org/dc/elements/1.1/"/>
    <ds:schemaRef ds:uri="http://purl.org/dc/dcmitype/"/>
    <ds:schemaRef ds:uri="http://purl.org/dc/terms/"/>
    <ds:schemaRef ds:uri="5aff64d6-7803-4fb3-a6dc-2c7b0357e73e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ad474b94-ba02-4e88-987e-f92536b7745b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27C564EA-38D9-477C-AB95-BFA11D51C1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474b94-ba02-4e88-987e-f92536b7745b"/>
    <ds:schemaRef ds:uri="5aff64d6-7803-4fb3-a6dc-2c7b0357e7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606823F-526F-4ACA-A264-1F1EECB3B3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Calculator</vt:lpstr>
      <vt:lpstr>Rates</vt:lpstr>
      <vt:lpstr>Lookups</vt:lpstr>
      <vt:lpstr>Parms</vt:lpstr>
      <vt:lpstr>USEU</vt:lpstr>
      <vt:lpstr>Burst_Multiplier</vt:lpstr>
      <vt:lpstr>Days_in_a_month</vt:lpstr>
      <vt:lpstr>Hours_in_a_day</vt:lpstr>
      <vt:lpstr>Months_in_Annual_Package</vt:lpstr>
      <vt:lpstr>PaymentType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Beekhuizen</dc:creator>
  <cp:lastModifiedBy>michael laptop</cp:lastModifiedBy>
  <dcterms:created xsi:type="dcterms:W3CDTF">2009-05-20T17:48:14Z</dcterms:created>
  <dcterms:modified xsi:type="dcterms:W3CDTF">2023-02-02T09:00:13Z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0x0101004255B8CB2009EA46A9BB1E01FBBB0354</vt:lpwstr>
  </property>
  <property fmtid="{D5CDD505-2E9C-101B-9397-08002B2CF9AE}" pid="3" name="MediaServiceImageTags">
    <vt:lpwstr/>
  </property>
</Properties>
</file>